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ЛИЧНЫЕ ПАПКИ\ПИНСКАЯ Г.П\Рабочая документация\Проект бюджета ДГО на 2021-2023 гг\Проект бюджета ДГО на 2021-2023 годы на сайт\Сведения по открытости бюджетных данных\"/>
    </mc:Choice>
  </mc:AlternateContent>
  <bookViews>
    <workbookView xWindow="0" yWindow="0" windowWidth="28800" windowHeight="11880"/>
  </bookViews>
  <sheets>
    <sheet name="доходы" sheetId="1" r:id="rId1"/>
  </sheets>
  <externalReferences>
    <externalReference r:id="rId2"/>
  </externalReferences>
  <definedNames>
    <definedName name="_xlnm.Print_Area" localSheetId="0">доходы!$A$2:$I$126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0" i="1" l="1"/>
  <c r="D112" i="1"/>
  <c r="D111" i="1"/>
  <c r="D109" i="1"/>
  <c r="D101" i="1"/>
  <c r="D51" i="1"/>
  <c r="H14" i="1"/>
  <c r="E14" i="1"/>
  <c r="D14" i="1"/>
  <c r="C14" i="1"/>
  <c r="G14" i="1"/>
  <c r="F14" i="1" l="1"/>
  <c r="C27" i="1"/>
  <c r="G30" i="1"/>
  <c r="F30" i="1"/>
  <c r="F29" i="1"/>
  <c r="G29" i="1"/>
  <c r="I28" i="1"/>
  <c r="I27" i="1" s="1"/>
  <c r="H28" i="1"/>
  <c r="H27" i="1" s="1"/>
  <c r="E28" i="1"/>
  <c r="E27" i="1" s="1"/>
  <c r="C28" i="1"/>
  <c r="F28" i="1" l="1"/>
  <c r="D28" i="1"/>
  <c r="G28" i="1" s="1"/>
  <c r="D110" i="1"/>
  <c r="G116" i="1"/>
  <c r="F116" i="1"/>
  <c r="D81" i="1"/>
  <c r="G80" i="1"/>
  <c r="F80" i="1"/>
  <c r="D79" i="1"/>
  <c r="D96" i="1"/>
  <c r="D73" i="1"/>
  <c r="D44" i="1"/>
  <c r="D67" i="1"/>
  <c r="D35" i="1"/>
  <c r="D19" i="1"/>
  <c r="D18" i="1"/>
  <c r="D17" i="1"/>
  <c r="D16" i="1"/>
  <c r="D121" i="1" l="1"/>
  <c r="D118" i="1"/>
  <c r="C118" i="1"/>
  <c r="I119" i="1"/>
  <c r="H119" i="1"/>
  <c r="F119" i="1"/>
  <c r="G119" i="1"/>
  <c r="G117" i="1"/>
  <c r="F117" i="1"/>
  <c r="G115" i="1"/>
  <c r="F115" i="1"/>
  <c r="G114" i="1"/>
  <c r="F114" i="1"/>
  <c r="G113" i="1"/>
  <c r="F113" i="1"/>
  <c r="G112" i="1"/>
  <c r="F112" i="1"/>
  <c r="G111" i="1"/>
  <c r="F111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1" i="1"/>
  <c r="F101" i="1"/>
  <c r="G96" i="1"/>
  <c r="F96" i="1"/>
  <c r="G95" i="1"/>
  <c r="F95" i="1"/>
  <c r="F94" i="1"/>
  <c r="G93" i="1"/>
  <c r="F93" i="1"/>
  <c r="G92" i="1"/>
  <c r="F92" i="1"/>
  <c r="G90" i="1"/>
  <c r="F90" i="1"/>
  <c r="G89" i="1"/>
  <c r="F89" i="1"/>
  <c r="G87" i="1"/>
  <c r="F87" i="1"/>
  <c r="F86" i="1"/>
  <c r="G85" i="1"/>
  <c r="F85" i="1"/>
  <c r="G84" i="1"/>
  <c r="F84" i="1"/>
  <c r="G83" i="1"/>
  <c r="F83" i="1"/>
  <c r="G82" i="1"/>
  <c r="F82" i="1"/>
  <c r="G81" i="1"/>
  <c r="F81" i="1"/>
  <c r="G79" i="1"/>
  <c r="F79" i="1"/>
  <c r="G78" i="1"/>
  <c r="F78" i="1"/>
  <c r="G77" i="1"/>
  <c r="F77" i="1"/>
  <c r="G74" i="1"/>
  <c r="F74" i="1"/>
  <c r="G73" i="1"/>
  <c r="F73" i="1"/>
  <c r="G72" i="1"/>
  <c r="F72" i="1"/>
  <c r="G70" i="1"/>
  <c r="F70" i="1"/>
  <c r="G68" i="1"/>
  <c r="F68" i="1"/>
  <c r="G67" i="1"/>
  <c r="F67" i="1"/>
  <c r="F66" i="1"/>
  <c r="G65" i="1"/>
  <c r="F65" i="1"/>
  <c r="F64" i="1"/>
  <c r="F63" i="1"/>
  <c r="G62" i="1"/>
  <c r="F62" i="1"/>
  <c r="G61" i="1"/>
  <c r="F61" i="1"/>
  <c r="F60" i="1"/>
  <c r="G59" i="1"/>
  <c r="F59" i="1"/>
  <c r="G58" i="1"/>
  <c r="F58" i="1"/>
  <c r="F57" i="1"/>
  <c r="F56" i="1"/>
  <c r="G55" i="1"/>
  <c r="F55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4" i="1"/>
  <c r="F44" i="1"/>
  <c r="G43" i="1"/>
  <c r="F43" i="1"/>
  <c r="F42" i="1"/>
  <c r="G41" i="1"/>
  <c r="F41" i="1"/>
  <c r="G40" i="1"/>
  <c r="F40" i="1"/>
  <c r="F39" i="1"/>
  <c r="G38" i="1"/>
  <c r="F38" i="1"/>
  <c r="F37" i="1"/>
  <c r="F36" i="1"/>
  <c r="G35" i="1"/>
  <c r="F35" i="1"/>
  <c r="G34" i="1"/>
  <c r="F34" i="1"/>
  <c r="G33" i="1"/>
  <c r="F33" i="1"/>
  <c r="G32" i="1"/>
  <c r="F32" i="1"/>
  <c r="F31" i="1"/>
  <c r="F27" i="1"/>
  <c r="G26" i="1"/>
  <c r="F26" i="1"/>
  <c r="G25" i="1"/>
  <c r="F25" i="1"/>
  <c r="G24" i="1"/>
  <c r="F24" i="1"/>
  <c r="G23" i="1"/>
  <c r="F23" i="1"/>
  <c r="F22" i="1"/>
  <c r="F21" i="1"/>
  <c r="G20" i="1"/>
  <c r="F20" i="1"/>
  <c r="G19" i="1"/>
  <c r="F19" i="1"/>
  <c r="G18" i="1"/>
  <c r="F18" i="1"/>
  <c r="G17" i="1"/>
  <c r="F17" i="1"/>
  <c r="G16" i="1"/>
  <c r="F16" i="1"/>
  <c r="I105" i="1"/>
  <c r="H105" i="1"/>
  <c r="C52" i="1"/>
  <c r="I42" i="1"/>
  <c r="H42" i="1"/>
  <c r="E42" i="1"/>
  <c r="D42" i="1"/>
  <c r="G42" i="1" s="1"/>
  <c r="C42" i="1"/>
  <c r="C99" i="1"/>
  <c r="I100" i="1"/>
  <c r="H100" i="1"/>
  <c r="E100" i="1"/>
  <c r="F100" i="1" s="1"/>
  <c r="C123" i="1"/>
  <c r="I124" i="1"/>
  <c r="H124" i="1"/>
  <c r="E124" i="1"/>
  <c r="G124" i="1" s="1"/>
  <c r="I122" i="1"/>
  <c r="I121" i="1" s="1"/>
  <c r="H122" i="1"/>
  <c r="H121" i="1" s="1"/>
  <c r="E122" i="1"/>
  <c r="E121" i="1" s="1"/>
  <c r="F121" i="1" s="1"/>
  <c r="C121" i="1"/>
  <c r="I120" i="1"/>
  <c r="H120" i="1"/>
  <c r="E120" i="1"/>
  <c r="F120" i="1" s="1"/>
  <c r="I94" i="1"/>
  <c r="H94" i="1"/>
  <c r="E94" i="1"/>
  <c r="D94" i="1"/>
  <c r="G94" i="1" s="1"/>
  <c r="C94" i="1"/>
  <c r="I66" i="1"/>
  <c r="H66" i="1"/>
  <c r="E66" i="1"/>
  <c r="D66" i="1"/>
  <c r="G66" i="1" s="1"/>
  <c r="C66" i="1"/>
  <c r="I118" i="1" l="1"/>
  <c r="H118" i="1"/>
  <c r="E118" i="1"/>
  <c r="F118" i="1" s="1"/>
  <c r="G118" i="1"/>
  <c r="G100" i="1"/>
  <c r="F122" i="1"/>
  <c r="F124" i="1"/>
  <c r="G120" i="1"/>
  <c r="G122" i="1"/>
  <c r="G121" i="1"/>
  <c r="D123" i="1"/>
  <c r="C110" i="1"/>
  <c r="C102" i="1"/>
  <c r="D99" i="1"/>
  <c r="D91" i="1"/>
  <c r="D88" i="1"/>
  <c r="G88" i="1" s="1"/>
  <c r="D86" i="1"/>
  <c r="G86" i="1" s="1"/>
  <c r="D76" i="1"/>
  <c r="G76" i="1" s="1"/>
  <c r="C76" i="1"/>
  <c r="D71" i="1"/>
  <c r="C71" i="1"/>
  <c r="C69" i="1" s="1"/>
  <c r="D64" i="1"/>
  <c r="G64" i="1" s="1"/>
  <c r="C64" i="1"/>
  <c r="C63" i="1" s="1"/>
  <c r="D60" i="1"/>
  <c r="G60" i="1" s="1"/>
  <c r="C60" i="1"/>
  <c r="D57" i="1"/>
  <c r="G57" i="1" s="1"/>
  <c r="C57" i="1"/>
  <c r="D54" i="1"/>
  <c r="G54" i="1" s="1"/>
  <c r="C54" i="1"/>
  <c r="D52" i="1"/>
  <c r="D47" i="1"/>
  <c r="C47" i="1"/>
  <c r="D39" i="1"/>
  <c r="C39" i="1"/>
  <c r="C36" i="1" s="1"/>
  <c r="D37" i="1"/>
  <c r="G37" i="1" s="1"/>
  <c r="C37" i="1"/>
  <c r="D31" i="1"/>
  <c r="D27" i="1" s="1"/>
  <c r="C31" i="1"/>
  <c r="D22" i="1"/>
  <c r="C22" i="1"/>
  <c r="D15" i="1"/>
  <c r="C15" i="1"/>
  <c r="I125" i="1"/>
  <c r="I123" i="1" s="1"/>
  <c r="H125" i="1"/>
  <c r="H123" i="1" s="1"/>
  <c r="I109" i="1"/>
  <c r="H109" i="1"/>
  <c r="I108" i="1"/>
  <c r="H108" i="1"/>
  <c r="I104" i="1"/>
  <c r="H104" i="1"/>
  <c r="I103" i="1"/>
  <c r="H103" i="1"/>
  <c r="E103" i="1"/>
  <c r="I101" i="1"/>
  <c r="I99" i="1" s="1"/>
  <c r="H101" i="1"/>
  <c r="H99" i="1" s="1"/>
  <c r="E99" i="1"/>
  <c r="E93" i="1"/>
  <c r="I91" i="1"/>
  <c r="H91" i="1"/>
  <c r="I88" i="1"/>
  <c r="H88" i="1"/>
  <c r="E88" i="1"/>
  <c r="F88" i="1" s="1"/>
  <c r="I86" i="1"/>
  <c r="H86" i="1"/>
  <c r="E86" i="1"/>
  <c r="I76" i="1"/>
  <c r="H76" i="1"/>
  <c r="E76" i="1"/>
  <c r="I71" i="1"/>
  <c r="I69" i="1" s="1"/>
  <c r="H71" i="1"/>
  <c r="H69" i="1" s="1"/>
  <c r="E71" i="1"/>
  <c r="I64" i="1"/>
  <c r="I63" i="1" s="1"/>
  <c r="H64" i="1"/>
  <c r="E64" i="1"/>
  <c r="I60" i="1"/>
  <c r="H60" i="1"/>
  <c r="E60" i="1"/>
  <c r="I57" i="1"/>
  <c r="H57" i="1"/>
  <c r="E57" i="1"/>
  <c r="I55" i="1"/>
  <c r="I54" i="1" s="1"/>
  <c r="H55" i="1"/>
  <c r="E55" i="1"/>
  <c r="E54" i="1" s="1"/>
  <c r="H54" i="1"/>
  <c r="I52" i="1"/>
  <c r="H52" i="1"/>
  <c r="E52" i="1"/>
  <c r="I47" i="1"/>
  <c r="H47" i="1"/>
  <c r="E47" i="1"/>
  <c r="F47" i="1" s="1"/>
  <c r="I39" i="1"/>
  <c r="I36" i="1" s="1"/>
  <c r="H39" i="1"/>
  <c r="H36" i="1" s="1"/>
  <c r="E39" i="1"/>
  <c r="E36" i="1" s="1"/>
  <c r="I37" i="1"/>
  <c r="H37" i="1"/>
  <c r="E37" i="1"/>
  <c r="I31" i="1"/>
  <c r="H31" i="1"/>
  <c r="E31" i="1"/>
  <c r="I22" i="1"/>
  <c r="I21" i="1" s="1"/>
  <c r="H22" i="1"/>
  <c r="H21" i="1" s="1"/>
  <c r="E22" i="1"/>
  <c r="E21" i="1" s="1"/>
  <c r="I15" i="1"/>
  <c r="I14" i="1" s="1"/>
  <c r="H15" i="1"/>
  <c r="E15" i="1"/>
  <c r="F15" i="1" s="1"/>
  <c r="A9" i="1"/>
  <c r="D36" i="1" l="1"/>
  <c r="G36" i="1" s="1"/>
  <c r="G39" i="1"/>
  <c r="D21" i="1"/>
  <c r="G21" i="1" s="1"/>
  <c r="G22" i="1"/>
  <c r="G91" i="1"/>
  <c r="E69" i="1"/>
  <c r="F69" i="1" s="1"/>
  <c r="F71" i="1"/>
  <c r="G47" i="1"/>
  <c r="G15" i="1"/>
  <c r="F76" i="1"/>
  <c r="D69" i="1"/>
  <c r="G69" i="1" s="1"/>
  <c r="G71" i="1"/>
  <c r="G27" i="1"/>
  <c r="G31" i="1"/>
  <c r="G103" i="1"/>
  <c r="F103" i="1"/>
  <c r="G99" i="1"/>
  <c r="F99" i="1"/>
  <c r="E123" i="1"/>
  <c r="F125" i="1"/>
  <c r="G125" i="1"/>
  <c r="C98" i="1"/>
  <c r="C13" i="1"/>
  <c r="E91" i="1"/>
  <c r="F91" i="1" s="1"/>
  <c r="D75" i="1"/>
  <c r="E56" i="1"/>
  <c r="D56" i="1"/>
  <c r="G56" i="1" s="1"/>
  <c r="D63" i="1"/>
  <c r="G63" i="1" s="1"/>
  <c r="H13" i="1"/>
  <c r="C56" i="1"/>
  <c r="I13" i="1"/>
  <c r="E13" i="1"/>
  <c r="F13" i="1" s="1"/>
  <c r="I46" i="1"/>
  <c r="H56" i="1"/>
  <c r="I56" i="1"/>
  <c r="H75" i="1"/>
  <c r="I75" i="1"/>
  <c r="E102" i="1"/>
  <c r="D46" i="1"/>
  <c r="C46" i="1"/>
  <c r="D13" i="1"/>
  <c r="E46" i="1"/>
  <c r="F46" i="1" s="1"/>
  <c r="H46" i="1"/>
  <c r="E63" i="1"/>
  <c r="H63" i="1"/>
  <c r="D102" i="1"/>
  <c r="C97" i="1"/>
  <c r="C21" i="1"/>
  <c r="H102" i="1"/>
  <c r="I102" i="1"/>
  <c r="I98" i="1" s="1"/>
  <c r="I97" i="1" s="1"/>
  <c r="E110" i="1"/>
  <c r="F110" i="1" s="1"/>
  <c r="H110" i="1"/>
  <c r="I110" i="1"/>
  <c r="G46" i="1" l="1"/>
  <c r="G13" i="1"/>
  <c r="D98" i="1"/>
  <c r="D97" i="1" s="1"/>
  <c r="H98" i="1"/>
  <c r="H97" i="1" s="1"/>
  <c r="F102" i="1"/>
  <c r="G102" i="1"/>
  <c r="F123" i="1"/>
  <c r="G123" i="1"/>
  <c r="G110" i="1"/>
  <c r="E75" i="1"/>
  <c r="F75" i="1" s="1"/>
  <c r="D45" i="1"/>
  <c r="C45" i="1"/>
  <c r="C12" i="1" s="1"/>
  <c r="I45" i="1"/>
  <c r="I12" i="1" s="1"/>
  <c r="E98" i="1"/>
  <c r="H45" i="1"/>
  <c r="H12" i="1" s="1"/>
  <c r="G75" i="1" l="1"/>
  <c r="D12" i="1"/>
  <c r="E97" i="1"/>
  <c r="F98" i="1"/>
  <c r="G98" i="1"/>
  <c r="E45" i="1"/>
  <c r="H126" i="1"/>
  <c r="I126" i="1"/>
  <c r="E12" i="1" l="1"/>
  <c r="F12" i="1" s="1"/>
  <c r="F45" i="1"/>
  <c r="G45" i="1"/>
  <c r="D126" i="1"/>
  <c r="G97" i="1"/>
  <c r="F97" i="1"/>
  <c r="C126" i="1"/>
  <c r="E126" i="1" l="1"/>
  <c r="G126" i="1" s="1"/>
  <c r="G12" i="1"/>
  <c r="F126" i="1" l="1"/>
</calcChain>
</file>

<file path=xl/sharedStrings.xml><?xml version="1.0" encoding="utf-8"?>
<sst xmlns="http://schemas.openxmlformats.org/spreadsheetml/2006/main" count="242" uniqueCount="240">
  <si>
    <t>КБК</t>
  </si>
  <si>
    <t>Наименования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</si>
  <si>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</si>
  <si>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</si>
  <si>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</si>
  <si>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</si>
  <si>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</si>
  <si>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</si>
  <si>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</si>
  <si>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</si>
  <si>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</si>
  <si>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</si>
  <si>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</si>
  <si>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</si>
  <si>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</si>
  <si>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</si>
  <si>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</si>
  <si>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</si>
  <si>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</si>
  <si>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</si>
  <si>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</si>
  <si>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</si>
  <si>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</si>
  <si>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</si>
  <si>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</si>
  <si>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</si>
  <si>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</si>
  <si>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</si>
  <si>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</si>
  <si>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</si>
  <si>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</si>
  <si>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</si>
  <si>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</si>
  <si>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</si>
  <si>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</si>
  <si>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</si>
  <si>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</si>
  <si>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</si>
  <si>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</si>
  <si>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</si>
  <si>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</si>
  <si>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</si>
  <si>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</si>
  <si>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 xml:space="preserve">1 06 01000 00 0000 110
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</si>
  <si>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</si>
  <si>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</si>
  <si>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</si>
  <si>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</si>
  <si>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</si>
  <si>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</si>
  <si>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</si>
  <si>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</si>
  <si>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</si>
  <si>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</si>
  <si>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</si>
  <si>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 xml:space="preserve">1 08 03010 01 0000 110
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</si>
  <si>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</si>
  <si>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</si>
  <si>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</si>
  <si>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</si>
  <si>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</si>
  <si>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</si>
  <si>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</si>
  <si>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</si>
  <si>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</si>
  <si>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</si>
  <si>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</si>
  <si>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</si>
  <si>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</si>
  <si>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</si>
  <si>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</si>
  <si>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</si>
  <si>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</si>
  <si>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</si>
  <si>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</si>
  <si>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</si>
  <si>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</si>
  <si>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</si>
  <si>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</si>
  <si>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</si>
  <si>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</si>
  <si>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</si>
  <si>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</si>
  <si>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</si>
  <si>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</si>
  <si>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</si>
  <si>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</si>
  <si>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</si>
  <si>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</si>
  <si>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</si>
  <si>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</si>
  <si>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</si>
  <si>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</si>
  <si>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</si>
  <si>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</si>
  <si>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</si>
  <si>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 xml:space="preserve">1 13 01994 04 0000 130
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</si>
  <si>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</si>
  <si>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</si>
  <si>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</si>
  <si>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</si>
  <si>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</si>
  <si>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</si>
  <si>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</si>
  <si>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</si>
  <si>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</si>
  <si>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</si>
  <si>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</si>
  <si>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</si>
  <si>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</si>
  <si>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</si>
  <si>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</si>
  <si>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</si>
  <si>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</si>
  <si>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</si>
  <si>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</si>
  <si>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</si>
  <si>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</si>
  <si>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</si>
  <si>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</si>
  <si>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</si>
  <si>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</si>
  <si>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</si>
  <si>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</si>
  <si>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</si>
  <si>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</si>
  <si>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</si>
  <si>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</si>
  <si>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</si>
  <si>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</si>
  <si>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</si>
  <si>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</si>
  <si>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</si>
  <si>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</si>
  <si>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</si>
  <si>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</si>
  <si>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</si>
  <si>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</si>
  <si>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</si>
  <si>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</si>
  <si>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</si>
  <si>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</si>
  <si>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</si>
  <si>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</si>
  <si>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1 16 10000 00 0000 140</t>
  </si>
  <si>
    <t>Платежи в целях возмещения причиненного ущерба (убытков)</t>
  </si>
  <si>
    <t>ФНС</t>
  </si>
  <si>
    <t>ФУ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</si>
  <si>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</si>
  <si>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</si>
  <si>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</si>
  <si>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</si>
  <si>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</si>
  <si>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</si>
  <si>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</si>
  <si>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</si>
  <si>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</si>
  <si>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</si>
  <si>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</si>
  <si>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</si>
  <si>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</si>
  <si>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</si>
  <si>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</si>
  <si>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</si>
  <si>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</si>
  <si>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</si>
  <si>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</si>
  <si>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</si>
  <si>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</si>
  <si>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</si>
  <si>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</si>
  <si>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2 02 25555 04 0000 150
</t>
  </si>
  <si>
    <t xml:space="preserve">Субсидии бюджетам городских округов на реализацию программ формирования современной городской среды
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</si>
  <si>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</si>
  <si>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</si>
  <si>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</si>
  <si>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</si>
  <si>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</si>
  <si>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</si>
  <si>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</si>
  <si>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</si>
  <si>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</si>
  <si>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</si>
  <si>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</si>
  <si>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</si>
  <si>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</si>
  <si>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</si>
  <si>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2 02 35930 04 0000 150</t>
  </si>
  <si>
    <t xml:space="preserve">Субвенции бюджетам городских округов на государственную регистрацию актов гражданского состояния 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</si>
  <si>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</si>
  <si>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</si>
  <si>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</si>
  <si>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</si>
  <si>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 ДОХОДОВ</t>
  </si>
  <si>
    <t>руб.</t>
  </si>
  <si>
    <t xml:space="preserve">Сведения о доходах бюджета Дальнегорского городского округа </t>
  </si>
  <si>
    <t>2019 год
(исполнение)</t>
  </si>
  <si>
    <t>2020 год
(ожидаемое исполнение)</t>
  </si>
  <si>
    <t>2021 год
(проект бюджета)</t>
  </si>
  <si>
    <t>2022 год
(проект бюджета)</t>
  </si>
  <si>
    <t>2023 год
(проект бюджета)</t>
  </si>
  <si>
    <t>Отклонение от исполнения отчетного (2019) финансового года</t>
  </si>
  <si>
    <t>Отклонение от ожидаемого исполнения текущего (2020) финансового года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</si>
  <si>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</si>
  <si>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</si>
  <si>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1 17 01040 04 0000 180</t>
  </si>
  <si>
    <t>Невыясненные поступления, зачисляемые в бюджеты городских округов</t>
  </si>
  <si>
    <t xml:space="preserve">2 02 25519 04 0000 150
</t>
  </si>
  <si>
    <t>Субсидии бюджетам городских округов на поддержку отрасли культуры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</si>
  <si>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</si>
  <si>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</si>
  <si>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</si>
  <si>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</si>
  <si>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</si>
  <si>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</si>
  <si>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</si>
  <si>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</si>
  <si>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</si>
  <si>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</si>
  <si>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</si>
  <si>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</si>
  <si>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</si>
  <si>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</si>
  <si>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1 08 07150 01 0000 110
</t>
  </si>
  <si>
    <t>Государственная пошлина за выдачу разрешения на установку рекламной конструкции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</si>
  <si>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</si>
  <si>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</si>
  <si>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</si>
  <si>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</si>
  <si>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</si>
  <si>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</si>
  <si>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1 16 07000 00 0000 140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</si>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</sst>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"/>
    <numFmt numFmtId="166" formatCode="#,##0.00000"/>
    <numFmt numFmtId="167" formatCode="0.00000"/>
  </numFmts>
  <fonts count="19" x14ac:knownFonts="1">
    <font>
      <sz val="10"/>
      <name val="Arial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 Cyr"/>
      <charset val="204"/>
    </font>
    <font>
      <b/>
      <i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9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164" fontId="1" fillId="0" borderId="0" xfId="0" applyNumberFormat="1" applyFont="1"/>
    <xf numFmtId="164" fontId="1" fillId="0" borderId="0" xfId="0" applyNumberFormat="1" applyFont="1" applyFill="1"/>
    <xf numFmtId="0" fontId="2" fillId="0" borderId="0" xfId="0" applyFont="1"/>
    <xf numFmtId="49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justify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/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/>
    </xf>
    <xf numFmtId="4" fontId="10" fillId="0" borderId="1" xfId="0" applyNumberFormat="1" applyFont="1" applyFill="1" applyBorder="1"/>
    <xf numFmtId="0" fontId="9" fillId="0" borderId="0" xfId="0" applyFont="1" applyFill="1"/>
    <xf numFmtId="0" fontId="7" fillId="0" borderId="2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4" fontId="10" fillId="0" borderId="1" xfId="0" applyNumberFormat="1" applyFont="1" applyBorder="1"/>
    <xf numFmtId="166" fontId="10" fillId="0" borderId="1" xfId="0" applyNumberFormat="1" applyFont="1" applyFill="1" applyBorder="1"/>
    <xf numFmtId="164" fontId="10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justify" vertical="top" wrapText="1"/>
    </xf>
    <xf numFmtId="4" fontId="8" fillId="0" borderId="1" xfId="0" applyNumberFormat="1" applyFont="1" applyBorder="1" applyAlignment="1">
      <alignment vertical="top"/>
    </xf>
    <xf numFmtId="4" fontId="8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/>
    <xf numFmtId="166" fontId="2" fillId="0" borderId="0" xfId="0" applyNumberFormat="1" applyFont="1"/>
    <xf numFmtId="4" fontId="7" fillId="0" borderId="1" xfId="0" applyNumberFormat="1" applyFont="1" applyBorder="1" applyAlignment="1">
      <alignment vertical="top"/>
    </xf>
    <xf numFmtId="166" fontId="9" fillId="0" borderId="0" xfId="0" applyNumberFormat="1" applyFont="1"/>
    <xf numFmtId="165" fontId="9" fillId="0" borderId="0" xfId="0" applyNumberFormat="1" applyFont="1"/>
    <xf numFmtId="167" fontId="2" fillId="0" borderId="0" xfId="0" applyNumberFormat="1" applyFont="1"/>
    <xf numFmtId="0" fontId="8" fillId="0" borderId="2" xfId="0" applyFont="1" applyBorder="1" applyAlignment="1">
      <alignment horizontal="justify" vertical="top" wrapText="1"/>
    </xf>
    <xf numFmtId="4" fontId="1" fillId="0" borderId="1" xfId="0" applyNumberFormat="1" applyFont="1" applyBorder="1"/>
    <xf numFmtId="165" fontId="2" fillId="0" borderId="0" xfId="0" applyNumberFormat="1" applyFont="1"/>
    <xf numFmtId="0" fontId="7" fillId="0" borderId="1" xfId="0" applyFont="1" applyBorder="1" applyAlignment="1">
      <alignment horizontal="justify" vertical="top" wrapText="1"/>
    </xf>
    <xf numFmtId="4" fontId="15" fillId="0" borderId="1" xfId="0" applyNumberFormat="1" applyFont="1" applyBorder="1" applyAlignment="1">
      <alignment vertical="top"/>
    </xf>
    <xf numFmtId="4" fontId="16" fillId="0" borderId="1" xfId="0" applyNumberFormat="1" applyFont="1" applyBorder="1"/>
    <xf numFmtId="49" fontId="9" fillId="0" borderId="0" xfId="0" applyNumberFormat="1" applyFont="1"/>
    <xf numFmtId="166" fontId="2" fillId="0" borderId="0" xfId="0" applyNumberFormat="1" applyFont="1" applyFill="1"/>
    <xf numFmtId="0" fontId="2" fillId="0" borderId="0" xfId="0" applyFont="1" applyFill="1"/>
    <xf numFmtId="0" fontId="7" fillId="0" borderId="3" xfId="0" applyFont="1" applyBorder="1" applyAlignment="1">
      <alignment horizontal="justify" vertical="top" wrapText="1"/>
    </xf>
    <xf numFmtId="0" fontId="8" fillId="0" borderId="0" xfId="0" applyFont="1" applyFill="1" applyAlignment="1">
      <alignment vertical="top"/>
    </xf>
    <xf numFmtId="0" fontId="7" fillId="2" borderId="2" xfId="0" applyFont="1" applyFill="1" applyBorder="1" applyAlignment="1">
      <alignment horizontal="justify" vertical="top" wrapText="1"/>
    </xf>
    <xf numFmtId="4" fontId="7" fillId="2" borderId="1" xfId="0" applyNumberFormat="1" applyFont="1" applyFill="1" applyBorder="1" applyAlignment="1">
      <alignment vertical="top"/>
    </xf>
    <xf numFmtId="4" fontId="10" fillId="2" borderId="1" xfId="0" applyNumberFormat="1" applyFont="1" applyFill="1" applyBorder="1"/>
    <xf numFmtId="166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/>
    <xf numFmtId="0" fontId="2" fillId="0" borderId="0" xfId="0" applyFont="1" applyAlignment="1">
      <alignment horizontal="justify"/>
    </xf>
    <xf numFmtId="4" fontId="1" fillId="0" borderId="0" xfId="0" applyNumberFormat="1" applyFont="1"/>
    <xf numFmtId="4" fontId="1" fillId="0" borderId="0" xfId="0" applyNumberFormat="1" applyFont="1" applyFill="1"/>
    <xf numFmtId="0" fontId="17" fillId="0" borderId="0" xfId="0" applyFont="1" applyAlignment="1">
      <alignment horizontal="justify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justify" vertical="top" wrapText="1"/>
    </xf>
    <xf numFmtId="4" fontId="7" fillId="0" borderId="4" xfId="0" applyNumberFormat="1" applyFont="1" applyFill="1" applyBorder="1" applyAlignment="1">
      <alignment vertical="top"/>
    </xf>
    <xf numFmtId="4" fontId="10" fillId="0" borderId="4" xfId="0" applyNumberFormat="1" applyFont="1" applyFill="1" applyBorder="1"/>
    <xf numFmtId="0" fontId="2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justify"/>
    </xf>
    <xf numFmtId="164" fontId="8" fillId="0" borderId="0" xfId="0" applyNumberFormat="1" applyFont="1" applyBorder="1"/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4" fontId="9" fillId="0" borderId="0" xfId="0" applyNumberFormat="1" applyFont="1" applyBorder="1"/>
    <xf numFmtId="0" fontId="7" fillId="3" borderId="1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justify" vertical="top" wrapText="1"/>
    </xf>
    <xf numFmtId="4" fontId="7" fillId="3" borderId="1" xfId="0" applyNumberFormat="1" applyFont="1" applyFill="1" applyBorder="1" applyAlignment="1">
      <alignment vertical="top"/>
    </xf>
    <xf numFmtId="4" fontId="10" fillId="3" borderId="1" xfId="0" applyNumberFormat="1" applyFont="1" applyFill="1" applyBorder="1"/>
    <xf numFmtId="165" fontId="9" fillId="3" borderId="0" xfId="0" applyNumberFormat="1" applyFont="1" applyFill="1"/>
    <xf numFmtId="0" fontId="9" fillId="3" borderId="0" xfId="0" applyFont="1" applyFill="1"/>
    <xf numFmtId="166" fontId="9" fillId="3" borderId="0" xfId="0" applyNumberFormat="1" applyFont="1" applyFill="1"/>
    <xf numFmtId="0" fontId="12" fillId="3" borderId="1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justify" vertical="top" wrapText="1"/>
    </xf>
    <xf numFmtId="4" fontId="12" fillId="3" borderId="1" xfId="0" applyNumberFormat="1" applyFont="1" applyFill="1" applyBorder="1" applyAlignment="1">
      <alignment vertical="top"/>
    </xf>
    <xf numFmtId="4" fontId="13" fillId="3" borderId="1" xfId="0" applyNumberFormat="1" applyFont="1" applyFill="1" applyBorder="1"/>
    <xf numFmtId="166" fontId="14" fillId="3" borderId="0" xfId="0" applyNumberFormat="1" applyFont="1" applyFill="1"/>
    <xf numFmtId="165" fontId="14" fillId="3" borderId="0" xfId="0" applyNumberFormat="1" applyFont="1" applyFill="1"/>
    <xf numFmtId="0" fontId="14" fillId="3" borderId="0" xfId="0" applyFont="1" applyFill="1"/>
    <xf numFmtId="165" fontId="9" fillId="0" borderId="0" xfId="0" applyNumberFormat="1" applyFont="1" applyFill="1"/>
    <xf numFmtId="165" fontId="18" fillId="3" borderId="0" xfId="0" applyNumberFormat="1" applyFont="1" applyFill="1"/>
    <xf numFmtId="0" fontId="18" fillId="3" borderId="0" xfId="0" applyFont="1" applyFill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48;&#1063;&#1053;&#1067;&#1045;%20&#1055;&#1040;&#1055;&#1050;&#1048;/&#1055;&#1048;&#1053;&#1057;&#1050;&#1040;&#1071;%20&#1043;.&#1055;/&#1056;&#1072;&#1073;&#1086;&#1095;&#1072;&#1103;%20&#1076;&#1086;&#1082;&#1091;&#1084;&#1077;&#1085;&#1090;&#1072;&#1094;&#1080;&#1103;/&#1055;&#1088;&#1086;&#1077;&#1082;&#1090;%20&#1073;&#1102;&#1076;&#1078;&#1077;&#1090;&#1072;%20&#1044;&#1043;&#1054;%20&#1085;&#1072;%202021-2023%20&#1075;&#1075;/&#1087;&#1088;&#1086;&#1077;&#1082;&#1090;&#1072;%20&#1073;&#1102;&#1076;&#1078;&#1077;&#1090;&#1072;%202021-2023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по программам"/>
      <sheetName val="Исполнение"/>
      <sheetName val="Вариант первонач"/>
      <sheetName val="раб таблица корр"/>
      <sheetName val="пр.1 источники"/>
      <sheetName val="пр.2 заимств"/>
      <sheetName val="Прил. 3 ГАДы"/>
      <sheetName val="Прил. 4 ГАДы краевые"/>
      <sheetName val="Прил 5 ГАИ"/>
      <sheetName val="прил 6 объём МБТ"/>
      <sheetName val="свод по р-пр"/>
      <sheetName val="доходы"/>
      <sheetName val="оценка ожид исполн"/>
      <sheetName val="проект программы внутр заимств"/>
      <sheetName val="верхний предел"/>
      <sheetName val="прогноз основных хар-к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на 2021 год и плановый период 2022 и 2023 годов</v>
          </cell>
        </row>
      </sheetData>
      <sheetData sheetId="7"/>
      <sheetData sheetId="8"/>
      <sheetData sheetId="9">
        <row r="16">
          <cell r="C16">
            <v>0</v>
          </cell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21">
          <cell r="C21">
            <v>0</v>
          </cell>
        </row>
        <row r="22">
          <cell r="D22">
            <v>0</v>
          </cell>
          <cell r="E22">
            <v>0</v>
          </cell>
        </row>
        <row r="24">
          <cell r="D24">
            <v>0</v>
          </cell>
          <cell r="E24">
            <v>0</v>
          </cell>
        </row>
        <row r="28">
          <cell r="D28">
            <v>0</v>
          </cell>
          <cell r="E28">
            <v>0</v>
          </cell>
        </row>
        <row r="71">
          <cell r="D71">
            <v>0</v>
          </cell>
          <cell r="E71">
            <v>0</v>
          </cell>
        </row>
        <row r="73">
          <cell r="C73">
            <v>0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34"/>
  <sheetViews>
    <sheetView tabSelected="1" view="pageBreakPreview" topLeftCell="A7" zoomScale="85" zoomScaleNormal="100" zoomScaleSheetLayoutView="85" workbookViewId="0">
      <pane ySplit="5" topLeftCell="A12" activePane="bottomLeft" state="frozen"/>
      <selection activeCell="A7" sqref="A7"/>
      <selection pane="bottomLeft" activeCell="A13" sqref="A13:XFD13"/>
    </sheetView>
  </sheetViews>
  <sheetFormatPr defaultRowHeight="12" outlineLevelRow="1" x14ac:dyDescent="0.2"/>
  <cols>
    <col min="1" max="1" width="24.85546875" style="5" customWidth="1"/>
    <col min="2" max="2" width="50.85546875" style="55" customWidth="1"/>
    <col min="3" max="3" width="18.28515625" style="3" customWidth="1"/>
    <col min="4" max="4" width="18.28515625" style="4" customWidth="1"/>
    <col min="5" max="5" width="17.5703125" style="3" customWidth="1"/>
    <col min="6" max="6" width="16.7109375" style="3" customWidth="1"/>
    <col min="7" max="7" width="19.7109375" style="4" customWidth="1"/>
    <col min="8" max="8" width="17.7109375" style="3" customWidth="1"/>
    <col min="9" max="9" width="17" style="4" customWidth="1"/>
    <col min="10" max="10" width="9.140625" style="5" customWidth="1"/>
    <col min="11" max="11" width="11.85546875" style="5" customWidth="1"/>
    <col min="12" max="12" width="12.85546875" style="5" customWidth="1"/>
    <col min="13" max="13" width="12.5703125" style="5" customWidth="1"/>
    <col min="14" max="16384" width="9.140625" style="5"/>
  </cols>
  <sheetData>
    <row r="1" spans="1:13" x14ac:dyDescent="0.2">
      <c r="A1" s="1"/>
      <c r="B1" s="2"/>
    </row>
    <row r="2" spans="1:13" s="12" customFormat="1" ht="15" collapsed="1" x14ac:dyDescent="0.25">
      <c r="A2" s="6"/>
      <c r="B2" s="7"/>
      <c r="C2" s="8"/>
      <c r="D2" s="10"/>
      <c r="E2" s="8"/>
      <c r="F2" s="9"/>
      <c r="G2" s="10"/>
      <c r="H2" s="9"/>
      <c r="I2" s="10"/>
      <c r="J2" s="10"/>
      <c r="K2" s="11"/>
      <c r="L2" s="11"/>
      <c r="M2" s="11"/>
    </row>
    <row r="3" spans="1:13" s="12" customFormat="1" ht="15" x14ac:dyDescent="0.25">
      <c r="A3" s="6"/>
      <c r="B3" s="7"/>
      <c r="C3" s="8"/>
      <c r="D3" s="10"/>
      <c r="E3" s="8"/>
      <c r="F3" s="9"/>
      <c r="G3" s="10"/>
      <c r="H3" s="9"/>
      <c r="I3" s="10"/>
      <c r="J3" s="10"/>
      <c r="K3" s="11"/>
      <c r="L3" s="11"/>
      <c r="M3" s="11"/>
    </row>
    <row r="4" spans="1:13" s="12" customFormat="1" ht="15" x14ac:dyDescent="0.25">
      <c r="A4" s="6"/>
      <c r="B4" s="7"/>
      <c r="C4" s="8"/>
      <c r="D4" s="10"/>
      <c r="E4" s="8"/>
      <c r="F4" s="9"/>
      <c r="G4" s="10"/>
      <c r="H4" s="9"/>
      <c r="I4" s="10"/>
      <c r="J4" s="10"/>
      <c r="K4" s="11"/>
      <c r="L4" s="11"/>
      <c r="M4" s="11"/>
    </row>
    <row r="5" spans="1:13" s="12" customFormat="1" ht="15" x14ac:dyDescent="0.25">
      <c r="A5" s="6"/>
      <c r="B5" s="7"/>
      <c r="C5" s="8"/>
      <c r="D5" s="10"/>
      <c r="E5" s="8"/>
      <c r="F5" s="9"/>
      <c r="G5" s="10"/>
      <c r="H5" s="9"/>
      <c r="I5" s="10"/>
      <c r="J5" s="10"/>
      <c r="K5" s="11"/>
      <c r="L5" s="11"/>
      <c r="M5" s="11"/>
    </row>
    <row r="6" spans="1:13" s="12" customFormat="1" ht="13.5" customHeight="1" x14ac:dyDescent="0.2">
      <c r="A6" s="6"/>
      <c r="B6" s="13"/>
      <c r="C6" s="14"/>
      <c r="D6" s="10"/>
      <c r="E6" s="14"/>
      <c r="G6" s="10"/>
      <c r="I6" s="10"/>
      <c r="J6" s="10"/>
      <c r="K6" s="11"/>
      <c r="L6" s="11"/>
      <c r="M6" s="11"/>
    </row>
    <row r="7" spans="1:13" s="64" customFormat="1" ht="15.75" customHeight="1" x14ac:dyDescent="0.2">
      <c r="A7" s="89" t="s">
        <v>195</v>
      </c>
      <c r="B7" s="89"/>
      <c r="C7" s="89"/>
      <c r="D7" s="89"/>
      <c r="E7" s="89"/>
      <c r="F7" s="89"/>
      <c r="G7" s="89"/>
      <c r="H7" s="89"/>
      <c r="I7" s="89"/>
    </row>
    <row r="8" spans="1:13" s="64" customFormat="1" ht="13.5" customHeight="1" x14ac:dyDescent="0.2">
      <c r="A8" s="89"/>
      <c r="B8" s="89"/>
      <c r="C8" s="89"/>
      <c r="D8" s="89"/>
      <c r="E8" s="89"/>
      <c r="F8" s="89"/>
      <c r="G8" s="89"/>
      <c r="H8" s="89"/>
      <c r="I8" s="89"/>
    </row>
    <row r="9" spans="1:13" s="64" customFormat="1" ht="17.25" customHeight="1" x14ac:dyDescent="0.25">
      <c r="A9" s="90" t="str">
        <f>'[1]Прил. 3 ГАДы'!A6:C6</f>
        <v>на 2021 год и плановый период 2022 и 2023 годов</v>
      </c>
      <c r="B9" s="90"/>
      <c r="C9" s="90"/>
      <c r="D9" s="90"/>
      <c r="E9" s="90"/>
      <c r="F9" s="90"/>
      <c r="G9" s="90"/>
      <c r="H9" s="90"/>
      <c r="I9" s="90"/>
    </row>
    <row r="10" spans="1:13" s="64" customFormat="1" ht="15.75" x14ac:dyDescent="0.25">
      <c r="A10" s="65"/>
      <c r="B10" s="66"/>
      <c r="C10" s="67"/>
      <c r="D10" s="68"/>
      <c r="E10" s="67"/>
      <c r="F10" s="65"/>
      <c r="G10" s="69"/>
      <c r="H10" s="65"/>
      <c r="I10" s="69" t="s">
        <v>194</v>
      </c>
    </row>
    <row r="11" spans="1:13" s="70" customFormat="1" ht="94.5" x14ac:dyDescent="0.2">
      <c r="A11" s="15" t="s">
        <v>0</v>
      </c>
      <c r="B11" s="16" t="s">
        <v>1</v>
      </c>
      <c r="C11" s="59" t="s">
        <v>196</v>
      </c>
      <c r="D11" s="59" t="s">
        <v>197</v>
      </c>
      <c r="E11" s="59" t="s">
        <v>198</v>
      </c>
      <c r="F11" s="59" t="s">
        <v>201</v>
      </c>
      <c r="G11" s="59" t="s">
        <v>202</v>
      </c>
      <c r="H11" s="59" t="s">
        <v>199</v>
      </c>
      <c r="I11" s="59" t="s">
        <v>200</v>
      </c>
      <c r="K11" s="71"/>
    </row>
    <row r="12" spans="1:13" s="21" customFormat="1" ht="18" customHeight="1" x14ac:dyDescent="0.2">
      <c r="A12" s="60" t="s">
        <v>2</v>
      </c>
      <c r="B12" s="61" t="s">
        <v>3</v>
      </c>
      <c r="C12" s="62">
        <f>C13+C21+C27+C36+C42+C45</f>
        <v>631518356.75</v>
      </c>
      <c r="D12" s="62">
        <f>D13+D45</f>
        <v>651044570.18000007</v>
      </c>
      <c r="E12" s="62">
        <f>E13+E45</f>
        <v>659960982</v>
      </c>
      <c r="F12" s="62">
        <f>E12-C12</f>
        <v>28442625.25</v>
      </c>
      <c r="G12" s="62">
        <f>E12-D12</f>
        <v>8916411.8199999332</v>
      </c>
      <c r="H12" s="62">
        <f>H13+H45</f>
        <v>633184486</v>
      </c>
      <c r="I12" s="62">
        <f>I13+I45</f>
        <v>671510223</v>
      </c>
      <c r="J12" s="63"/>
    </row>
    <row r="13" spans="1:13" s="88" customFormat="1" ht="15.75" x14ac:dyDescent="0.2">
      <c r="A13" s="79"/>
      <c r="B13" s="80" t="s">
        <v>238</v>
      </c>
      <c r="C13" s="81">
        <f>C15</f>
        <v>502929692.48000002</v>
      </c>
      <c r="D13" s="81">
        <f>D15+D22+D27+D36+D42</f>
        <v>606574756.45000005</v>
      </c>
      <c r="E13" s="81">
        <f>E15+E22+E27+E36+E42</f>
        <v>622441622</v>
      </c>
      <c r="F13" s="81">
        <f t="shared" ref="F13:F81" si="0">E13-C13</f>
        <v>119511929.51999998</v>
      </c>
      <c r="G13" s="81">
        <f t="shared" ref="G13:G81" si="1">E13-D13</f>
        <v>15866865.549999952</v>
      </c>
      <c r="H13" s="81">
        <f>H15+H22+H27+H36+H42</f>
        <v>595226627</v>
      </c>
      <c r="I13" s="81">
        <f>I15+I22+I27+I36+I42</f>
        <v>635018304</v>
      </c>
      <c r="J13" s="82"/>
      <c r="K13" s="87"/>
    </row>
    <row r="14" spans="1:13" s="21" customFormat="1" ht="15.75" x14ac:dyDescent="0.2">
      <c r="A14" s="18" t="s">
        <v>4</v>
      </c>
      <c r="B14" s="22" t="s">
        <v>5</v>
      </c>
      <c r="C14" s="19">
        <f>C15</f>
        <v>502929692.48000002</v>
      </c>
      <c r="D14" s="19">
        <f t="shared" ref="D14:E14" si="2">D15</f>
        <v>530811436.44999999</v>
      </c>
      <c r="E14" s="19">
        <f t="shared" si="2"/>
        <v>553056795</v>
      </c>
      <c r="F14" s="19">
        <f t="shared" ref="F14" si="3">E14-C14</f>
        <v>50127102.519999981</v>
      </c>
      <c r="G14" s="19">
        <f t="shared" ref="G14" si="4">E14-D14</f>
        <v>22245358.550000012</v>
      </c>
      <c r="H14" s="19">
        <f t="shared" ref="H14:I14" si="5">H15</f>
        <v>531284871</v>
      </c>
      <c r="I14" s="19">
        <f t="shared" si="5"/>
        <v>571250548</v>
      </c>
      <c r="J14" s="20"/>
      <c r="K14" s="86"/>
    </row>
    <row r="15" spans="1:13" s="17" customFormat="1" ht="15.75" x14ac:dyDescent="0.2">
      <c r="A15" s="23" t="s">
        <v>6</v>
      </c>
      <c r="B15" s="24" t="s">
        <v>7</v>
      </c>
      <c r="C15" s="19">
        <f>SUM(C16:C20)</f>
        <v>502929692.48000002</v>
      </c>
      <c r="D15" s="19">
        <f>SUM(D16:D20)</f>
        <v>530811436.44999999</v>
      </c>
      <c r="E15" s="19">
        <f>SUM(E16:E20)</f>
        <v>553056795</v>
      </c>
      <c r="F15" s="19">
        <f t="shared" si="0"/>
        <v>50127102.519999981</v>
      </c>
      <c r="G15" s="19">
        <f t="shared" si="1"/>
        <v>22245358.550000012</v>
      </c>
      <c r="H15" s="19">
        <f>SUM(H16:H20)</f>
        <v>531284871</v>
      </c>
      <c r="I15" s="19">
        <f>SUM(I16:I20)</f>
        <v>571250548</v>
      </c>
      <c r="J15" s="25"/>
      <c r="K15" s="26"/>
      <c r="L15" s="27"/>
      <c r="M15" s="27"/>
    </row>
    <row r="16" spans="1:13" ht="96" customHeight="1" outlineLevel="1" x14ac:dyDescent="0.2">
      <c r="A16" s="28" t="s">
        <v>8</v>
      </c>
      <c r="B16" s="29" t="s">
        <v>9</v>
      </c>
      <c r="C16" s="30">
        <v>498524228.61000001</v>
      </c>
      <c r="D16" s="31">
        <f>523582156.45+1942947</f>
        <v>525525103.44999999</v>
      </c>
      <c r="E16" s="30">
        <v>547505330</v>
      </c>
      <c r="F16" s="30">
        <f t="shared" si="0"/>
        <v>48981101.389999986</v>
      </c>
      <c r="G16" s="31">
        <f t="shared" si="1"/>
        <v>21980226.550000012</v>
      </c>
      <c r="H16" s="30">
        <v>525971540</v>
      </c>
      <c r="I16" s="31">
        <v>565879748</v>
      </c>
      <c r="J16" s="32"/>
      <c r="K16" s="33"/>
    </row>
    <row r="17" spans="1:13" ht="141.75" customHeight="1" outlineLevel="1" x14ac:dyDescent="0.2">
      <c r="A17" s="28" t="s">
        <v>10</v>
      </c>
      <c r="B17" s="29" t="s">
        <v>11</v>
      </c>
      <c r="C17" s="30">
        <v>1200298.8899999999</v>
      </c>
      <c r="D17" s="31">
        <f>2366820-940333</f>
        <v>1426487</v>
      </c>
      <c r="E17" s="30">
        <v>2449537</v>
      </c>
      <c r="F17" s="30">
        <f t="shared" si="0"/>
        <v>1249238.1100000001</v>
      </c>
      <c r="G17" s="31">
        <f t="shared" si="1"/>
        <v>1023050</v>
      </c>
      <c r="H17" s="30">
        <v>2331270</v>
      </c>
      <c r="I17" s="31">
        <v>2378717</v>
      </c>
      <c r="J17" s="32"/>
      <c r="K17" s="33"/>
    </row>
    <row r="18" spans="1:13" ht="65.25" customHeight="1" outlineLevel="1" x14ac:dyDescent="0.2">
      <c r="A18" s="28" t="s">
        <v>12</v>
      </c>
      <c r="B18" s="29" t="s">
        <v>13</v>
      </c>
      <c r="C18" s="30">
        <v>1722693.82</v>
      </c>
      <c r="D18" s="30">
        <f>2403490+841356</f>
        <v>3244846</v>
      </c>
      <c r="E18" s="30">
        <v>2486928</v>
      </c>
      <c r="F18" s="30">
        <f t="shared" si="0"/>
        <v>764234.17999999993</v>
      </c>
      <c r="G18" s="30">
        <f t="shared" si="1"/>
        <v>-757918</v>
      </c>
      <c r="H18" s="30">
        <v>2367061</v>
      </c>
      <c r="I18" s="30">
        <v>2377083</v>
      </c>
      <c r="J18" s="32"/>
      <c r="K18" s="33"/>
    </row>
    <row r="19" spans="1:13" ht="111" customHeight="1" outlineLevel="1" x14ac:dyDescent="0.2">
      <c r="A19" s="28" t="s">
        <v>14</v>
      </c>
      <c r="B19" s="29" t="s">
        <v>15</v>
      </c>
      <c r="C19" s="30">
        <v>1482471.16</v>
      </c>
      <c r="D19" s="30">
        <f>2458970-1843970</f>
        <v>615000</v>
      </c>
      <c r="E19" s="30">
        <v>615000</v>
      </c>
      <c r="F19" s="30">
        <f t="shared" si="0"/>
        <v>-867471.15999999992</v>
      </c>
      <c r="G19" s="30">
        <f t="shared" si="1"/>
        <v>0</v>
      </c>
      <c r="H19" s="30">
        <v>615000</v>
      </c>
      <c r="I19" s="30">
        <v>615000</v>
      </c>
      <c r="J19" s="32"/>
      <c r="K19" s="33"/>
    </row>
    <row r="20" spans="1:13" ht="66" customHeight="1" outlineLevel="1" x14ac:dyDescent="0.2">
      <c r="A20" s="28" t="s">
        <v>16</v>
      </c>
      <c r="B20" s="29" t="s">
        <v>17</v>
      </c>
      <c r="C20" s="30">
        <v>0</v>
      </c>
      <c r="D20" s="31">
        <v>0</v>
      </c>
      <c r="E20" s="30">
        <v>0</v>
      </c>
      <c r="F20" s="30">
        <f t="shared" si="0"/>
        <v>0</v>
      </c>
      <c r="G20" s="30">
        <f t="shared" si="1"/>
        <v>0</v>
      </c>
      <c r="H20" s="30">
        <v>0</v>
      </c>
      <c r="I20" s="30">
        <v>0</v>
      </c>
      <c r="J20" s="32"/>
      <c r="K20" s="33"/>
    </row>
    <row r="21" spans="1:13" s="77" customFormat="1" ht="47.25" x14ac:dyDescent="0.2">
      <c r="A21" s="72" t="s">
        <v>18</v>
      </c>
      <c r="B21" s="73" t="s">
        <v>19</v>
      </c>
      <c r="C21" s="74">
        <f>C22</f>
        <v>11062316.57</v>
      </c>
      <c r="D21" s="74">
        <f>D22</f>
        <v>10423320</v>
      </c>
      <c r="E21" s="74">
        <f>E22</f>
        <v>12054537</v>
      </c>
      <c r="F21" s="74">
        <f t="shared" si="0"/>
        <v>992220.4299999997</v>
      </c>
      <c r="G21" s="74">
        <f t="shared" si="1"/>
        <v>1631217</v>
      </c>
      <c r="H21" s="74">
        <f>H22</f>
        <v>13307466</v>
      </c>
      <c r="I21" s="74">
        <f>I22</f>
        <v>13307466</v>
      </c>
      <c r="J21" s="75"/>
      <c r="K21" s="78"/>
      <c r="L21" s="76"/>
    </row>
    <row r="22" spans="1:13" ht="47.25" outlineLevel="1" x14ac:dyDescent="0.2">
      <c r="A22" s="23" t="s">
        <v>20</v>
      </c>
      <c r="B22" s="24" t="s">
        <v>21</v>
      </c>
      <c r="C22" s="34">
        <f>SUM(C23:C26)</f>
        <v>11062316.57</v>
      </c>
      <c r="D22" s="34">
        <f>SUM(D23:D26)</f>
        <v>10423320</v>
      </c>
      <c r="E22" s="34">
        <f>SUM(E23:E26)</f>
        <v>12054537</v>
      </c>
      <c r="F22" s="34">
        <f t="shared" si="0"/>
        <v>992220.4299999997</v>
      </c>
      <c r="G22" s="34">
        <f t="shared" si="1"/>
        <v>1631217</v>
      </c>
      <c r="H22" s="34">
        <f>SUM(H23:H26)</f>
        <v>13307466</v>
      </c>
      <c r="I22" s="34">
        <f>SUM(I23:I26)</f>
        <v>13307466</v>
      </c>
      <c r="J22" s="25"/>
      <c r="K22" s="33"/>
      <c r="L22" s="37"/>
      <c r="M22" s="37"/>
    </row>
    <row r="23" spans="1:13" ht="141.75" customHeight="1" outlineLevel="1" x14ac:dyDescent="0.2">
      <c r="A23" s="28" t="s">
        <v>22</v>
      </c>
      <c r="B23" s="29" t="s">
        <v>23</v>
      </c>
      <c r="C23" s="30">
        <v>5035380.1900000004</v>
      </c>
      <c r="D23" s="30">
        <v>4894500</v>
      </c>
      <c r="E23" s="30">
        <v>5556940</v>
      </c>
      <c r="F23" s="30">
        <f t="shared" si="0"/>
        <v>521559.80999999959</v>
      </c>
      <c r="G23" s="30">
        <f t="shared" si="1"/>
        <v>662440</v>
      </c>
      <c r="H23" s="30">
        <v>6125111</v>
      </c>
      <c r="I23" s="30">
        <v>6125111</v>
      </c>
      <c r="J23" s="32"/>
      <c r="K23" s="33"/>
    </row>
    <row r="24" spans="1:13" ht="162" customHeight="1" outlineLevel="1" x14ac:dyDescent="0.2">
      <c r="A24" s="28" t="s">
        <v>24</v>
      </c>
      <c r="B24" s="29" t="s">
        <v>25</v>
      </c>
      <c r="C24" s="30">
        <v>37011.370000000003</v>
      </c>
      <c r="D24" s="30">
        <v>30740</v>
      </c>
      <c r="E24" s="30">
        <v>27886</v>
      </c>
      <c r="F24" s="30">
        <f t="shared" si="0"/>
        <v>-9125.3700000000026</v>
      </c>
      <c r="G24" s="30">
        <f t="shared" si="1"/>
        <v>-2854</v>
      </c>
      <c r="H24" s="30">
        <v>30200</v>
      </c>
      <c r="I24" s="30">
        <v>30200</v>
      </c>
      <c r="J24" s="32"/>
      <c r="K24" s="33"/>
    </row>
    <row r="25" spans="1:13" ht="143.25" customHeight="1" outlineLevel="1" x14ac:dyDescent="0.2">
      <c r="A25" s="28" t="s">
        <v>26</v>
      </c>
      <c r="B25" s="29" t="s">
        <v>27</v>
      </c>
      <c r="C25" s="30">
        <v>6727285.0300000003</v>
      </c>
      <c r="D25" s="30">
        <v>6316020</v>
      </c>
      <c r="E25" s="30">
        <v>7238191</v>
      </c>
      <c r="F25" s="30">
        <f t="shared" si="0"/>
        <v>510905.96999999974</v>
      </c>
      <c r="G25" s="30">
        <f t="shared" si="1"/>
        <v>922171</v>
      </c>
      <c r="H25" s="30">
        <v>7929575</v>
      </c>
      <c r="I25" s="30">
        <v>7929575</v>
      </c>
      <c r="J25" s="32"/>
      <c r="K25" s="33"/>
    </row>
    <row r="26" spans="1:13" ht="143.25" customHeight="1" outlineLevel="1" x14ac:dyDescent="0.2">
      <c r="A26" s="28" t="s">
        <v>28</v>
      </c>
      <c r="B26" s="29" t="s">
        <v>29</v>
      </c>
      <c r="C26" s="30">
        <v>-737360.02</v>
      </c>
      <c r="D26" s="30">
        <v>-817940</v>
      </c>
      <c r="E26" s="30">
        <v>-768480</v>
      </c>
      <c r="F26" s="30">
        <f t="shared" si="0"/>
        <v>-31119.979999999981</v>
      </c>
      <c r="G26" s="30">
        <f t="shared" si="1"/>
        <v>49460</v>
      </c>
      <c r="H26" s="30">
        <v>-777420</v>
      </c>
      <c r="I26" s="30">
        <v>-777420</v>
      </c>
      <c r="J26" s="32"/>
      <c r="K26" s="33"/>
    </row>
    <row r="27" spans="1:13" s="77" customFormat="1" ht="15.75" x14ac:dyDescent="0.2">
      <c r="A27" s="72" t="s">
        <v>30</v>
      </c>
      <c r="B27" s="73" t="s">
        <v>31</v>
      </c>
      <c r="C27" s="74">
        <f>C28+C31+C34+C35</f>
        <v>33339222.270000003</v>
      </c>
      <c r="D27" s="74">
        <f t="shared" ref="D27:E27" si="6">D28+D31+D34+D35</f>
        <v>28910000</v>
      </c>
      <c r="E27" s="74">
        <f t="shared" si="6"/>
        <v>12773290</v>
      </c>
      <c r="F27" s="74">
        <f t="shared" si="0"/>
        <v>-20565932.270000003</v>
      </c>
      <c r="G27" s="74">
        <f t="shared" si="1"/>
        <v>-16136710</v>
      </c>
      <c r="H27" s="74">
        <f t="shared" ref="H27:I27" si="7">H28+H31+H34+H35</f>
        <v>5447290</v>
      </c>
      <c r="I27" s="74">
        <f t="shared" si="7"/>
        <v>5199290</v>
      </c>
      <c r="J27" s="75"/>
      <c r="K27" s="78"/>
      <c r="L27" s="76"/>
    </row>
    <row r="28" spans="1:13" s="17" customFormat="1" ht="31.5" outlineLevel="1" x14ac:dyDescent="0.2">
      <c r="A28" s="23" t="s">
        <v>232</v>
      </c>
      <c r="B28" s="24" t="s">
        <v>233</v>
      </c>
      <c r="C28" s="34">
        <f>SUM(C29:C30)</f>
        <v>0</v>
      </c>
      <c r="D28" s="34">
        <f>SUM(D29:D30)</f>
        <v>0</v>
      </c>
      <c r="E28" s="34">
        <f>SUM(E29:E30)</f>
        <v>1984290</v>
      </c>
      <c r="F28" s="34">
        <f t="shared" ref="F28:F30" si="8">E28-C28</f>
        <v>1984290</v>
      </c>
      <c r="G28" s="34">
        <f t="shared" ref="G28:G30" si="9">E28-D28</f>
        <v>1984290</v>
      </c>
      <c r="H28" s="34">
        <f>SUM(H29:H30)</f>
        <v>1984290</v>
      </c>
      <c r="I28" s="34">
        <f>SUM(I29:I30)</f>
        <v>1984290</v>
      </c>
      <c r="J28" s="25"/>
      <c r="K28" s="35"/>
      <c r="L28" s="36"/>
    </row>
    <row r="29" spans="1:13" ht="31.5" customHeight="1" outlineLevel="1" x14ac:dyDescent="0.2">
      <c r="A29" s="28" t="s">
        <v>234</v>
      </c>
      <c r="B29" s="29" t="s">
        <v>235</v>
      </c>
      <c r="C29" s="30">
        <v>0</v>
      </c>
      <c r="D29" s="30">
        <v>0</v>
      </c>
      <c r="E29" s="30">
        <v>1468767</v>
      </c>
      <c r="F29" s="30">
        <f t="shared" si="8"/>
        <v>1468767</v>
      </c>
      <c r="G29" s="30">
        <f t="shared" si="9"/>
        <v>1468767</v>
      </c>
      <c r="H29" s="30">
        <v>1468767</v>
      </c>
      <c r="I29" s="30">
        <v>1468767</v>
      </c>
      <c r="J29" s="32"/>
      <c r="K29" s="33"/>
    </row>
    <row r="30" spans="1:13" ht="48.75" customHeight="1" outlineLevel="1" x14ac:dyDescent="0.2">
      <c r="A30" s="28" t="s">
        <v>236</v>
      </c>
      <c r="B30" s="29" t="s">
        <v>237</v>
      </c>
      <c r="C30" s="30">
        <v>0</v>
      </c>
      <c r="D30" s="31">
        <v>0</v>
      </c>
      <c r="E30" s="30">
        <v>515523</v>
      </c>
      <c r="F30" s="30">
        <f t="shared" si="8"/>
        <v>515523</v>
      </c>
      <c r="G30" s="30">
        <f t="shared" si="9"/>
        <v>515523</v>
      </c>
      <c r="H30" s="30">
        <v>515523</v>
      </c>
      <c r="I30" s="30">
        <v>515523</v>
      </c>
      <c r="J30" s="32"/>
      <c r="K30" s="33"/>
    </row>
    <row r="31" spans="1:13" s="17" customFormat="1" ht="31.5" outlineLevel="1" x14ac:dyDescent="0.2">
      <c r="A31" s="23" t="s">
        <v>32</v>
      </c>
      <c r="B31" s="24" t="s">
        <v>33</v>
      </c>
      <c r="C31" s="34">
        <f>SUM(C32:C33)</f>
        <v>31262920.470000003</v>
      </c>
      <c r="D31" s="34">
        <f>SUM(D32:D33)</f>
        <v>28250000</v>
      </c>
      <c r="E31" s="34">
        <f>SUM(E32:E33)</f>
        <v>7672000</v>
      </c>
      <c r="F31" s="34">
        <f t="shared" si="0"/>
        <v>-23590920.470000003</v>
      </c>
      <c r="G31" s="34">
        <f t="shared" si="1"/>
        <v>-20578000</v>
      </c>
      <c r="H31" s="34">
        <f>SUM(H32:H33)</f>
        <v>554000</v>
      </c>
      <c r="I31" s="34">
        <f>SUM(I32:I33)</f>
        <v>198000</v>
      </c>
      <c r="J31" s="25"/>
      <c r="K31" s="35"/>
      <c r="L31" s="36"/>
    </row>
    <row r="32" spans="1:13" ht="31.5" customHeight="1" outlineLevel="1" x14ac:dyDescent="0.2">
      <c r="A32" s="28" t="s">
        <v>34</v>
      </c>
      <c r="B32" s="29" t="s">
        <v>33</v>
      </c>
      <c r="C32" s="30">
        <v>31258410.710000001</v>
      </c>
      <c r="D32" s="30">
        <v>28250000</v>
      </c>
      <c r="E32" s="30">
        <v>7672000</v>
      </c>
      <c r="F32" s="30">
        <f t="shared" si="0"/>
        <v>-23586410.710000001</v>
      </c>
      <c r="G32" s="30">
        <f t="shared" si="1"/>
        <v>-20578000</v>
      </c>
      <c r="H32" s="30">
        <v>554000</v>
      </c>
      <c r="I32" s="30">
        <v>198000</v>
      </c>
      <c r="J32" s="32"/>
      <c r="K32" s="33"/>
    </row>
    <row r="33" spans="1:12" ht="48.75" customHeight="1" outlineLevel="1" x14ac:dyDescent="0.2">
      <c r="A33" s="28" t="s">
        <v>35</v>
      </c>
      <c r="B33" s="29" t="s">
        <v>36</v>
      </c>
      <c r="C33" s="30">
        <v>4509.76</v>
      </c>
      <c r="D33" s="31">
        <v>0</v>
      </c>
      <c r="E33" s="30">
        <v>0</v>
      </c>
      <c r="F33" s="30">
        <f t="shared" si="0"/>
        <v>-4509.76</v>
      </c>
      <c r="G33" s="30">
        <f t="shared" si="1"/>
        <v>0</v>
      </c>
      <c r="H33" s="30">
        <v>0</v>
      </c>
      <c r="I33" s="30">
        <v>0</v>
      </c>
      <c r="J33" s="32"/>
      <c r="K33" s="33"/>
    </row>
    <row r="34" spans="1:12" s="17" customFormat="1" ht="15.75" outlineLevel="1" x14ac:dyDescent="0.2">
      <c r="A34" s="23" t="s">
        <v>37</v>
      </c>
      <c r="B34" s="24" t="s">
        <v>38</v>
      </c>
      <c r="C34" s="34">
        <v>1630745.44</v>
      </c>
      <c r="D34" s="19">
        <v>60000</v>
      </c>
      <c r="E34" s="34">
        <v>2496000</v>
      </c>
      <c r="F34" s="34">
        <f t="shared" si="0"/>
        <v>865254.56</v>
      </c>
      <c r="G34" s="19">
        <f t="shared" si="1"/>
        <v>2436000</v>
      </c>
      <c r="H34" s="34">
        <v>2288000</v>
      </c>
      <c r="I34" s="19">
        <v>2396000</v>
      </c>
      <c r="J34" s="25"/>
      <c r="K34" s="35"/>
      <c r="L34" s="36"/>
    </row>
    <row r="35" spans="1:12" s="17" customFormat="1" ht="47.25" outlineLevel="1" x14ac:dyDescent="0.2">
      <c r="A35" s="23" t="s">
        <v>39</v>
      </c>
      <c r="B35" s="24" t="s">
        <v>40</v>
      </c>
      <c r="C35" s="34">
        <v>445556.36</v>
      </c>
      <c r="D35" s="34">
        <f>596000+4000</f>
        <v>600000</v>
      </c>
      <c r="E35" s="34">
        <v>621000</v>
      </c>
      <c r="F35" s="34">
        <f t="shared" si="0"/>
        <v>175443.64</v>
      </c>
      <c r="G35" s="34">
        <f t="shared" si="1"/>
        <v>21000</v>
      </c>
      <c r="H35" s="34">
        <v>621000</v>
      </c>
      <c r="I35" s="34">
        <v>621000</v>
      </c>
      <c r="J35" s="25"/>
      <c r="K35" s="35"/>
      <c r="L35" s="36"/>
    </row>
    <row r="36" spans="1:12" s="77" customFormat="1" ht="15.75" x14ac:dyDescent="0.2">
      <c r="A36" s="72" t="s">
        <v>41</v>
      </c>
      <c r="B36" s="73" t="s">
        <v>42</v>
      </c>
      <c r="C36" s="74">
        <f>C38+C39</f>
        <v>32882686.120000001</v>
      </c>
      <c r="D36" s="74">
        <f>D38+D39</f>
        <v>29030000</v>
      </c>
      <c r="E36" s="74">
        <f>E38+E39</f>
        <v>37501000</v>
      </c>
      <c r="F36" s="74">
        <f t="shared" si="0"/>
        <v>4618313.879999999</v>
      </c>
      <c r="G36" s="74">
        <f t="shared" si="1"/>
        <v>8471000</v>
      </c>
      <c r="H36" s="74">
        <f>H38+H39</f>
        <v>38130000</v>
      </c>
      <c r="I36" s="74">
        <f>I38+I39</f>
        <v>38200000</v>
      </c>
      <c r="J36" s="75"/>
      <c r="K36" s="78"/>
      <c r="L36" s="76"/>
    </row>
    <row r="37" spans="1:12" s="17" customFormat="1" ht="13.5" customHeight="1" outlineLevel="1" x14ac:dyDescent="0.2">
      <c r="A37" s="23" t="s">
        <v>43</v>
      </c>
      <c r="B37" s="24" t="s">
        <v>44</v>
      </c>
      <c r="C37" s="34">
        <f>C38</f>
        <v>12495600.23</v>
      </c>
      <c r="D37" s="34">
        <f>D38</f>
        <v>15730000</v>
      </c>
      <c r="E37" s="34">
        <f>E38</f>
        <v>16431000</v>
      </c>
      <c r="F37" s="34">
        <f t="shared" si="0"/>
        <v>3935399.7699999996</v>
      </c>
      <c r="G37" s="34">
        <f t="shared" si="1"/>
        <v>701000</v>
      </c>
      <c r="H37" s="34">
        <f>H38</f>
        <v>16920000</v>
      </c>
      <c r="I37" s="34">
        <f>I38</f>
        <v>16920000</v>
      </c>
      <c r="J37" s="25"/>
      <c r="K37" s="35"/>
      <c r="L37" s="36"/>
    </row>
    <row r="38" spans="1:12" ht="65.25" customHeight="1" outlineLevel="1" x14ac:dyDescent="0.2">
      <c r="A38" s="28" t="s">
        <v>45</v>
      </c>
      <c r="B38" s="38" t="s">
        <v>46</v>
      </c>
      <c r="C38" s="30">
        <v>12495600.23</v>
      </c>
      <c r="D38" s="30">
        <v>15730000</v>
      </c>
      <c r="E38" s="30">
        <v>16431000</v>
      </c>
      <c r="F38" s="30">
        <f t="shared" si="0"/>
        <v>3935399.7699999996</v>
      </c>
      <c r="G38" s="30">
        <f t="shared" si="1"/>
        <v>701000</v>
      </c>
      <c r="H38" s="30">
        <v>16920000</v>
      </c>
      <c r="I38" s="30">
        <v>16920000</v>
      </c>
      <c r="J38" s="39"/>
      <c r="K38" s="33"/>
      <c r="L38" s="40"/>
    </row>
    <row r="39" spans="1:12" s="17" customFormat="1" ht="13.5" customHeight="1" outlineLevel="1" x14ac:dyDescent="0.2">
      <c r="A39" s="23" t="s">
        <v>47</v>
      </c>
      <c r="B39" s="24" t="s">
        <v>48</v>
      </c>
      <c r="C39" s="34">
        <f>SUM(C40:C41)</f>
        <v>20387085.890000001</v>
      </c>
      <c r="D39" s="34">
        <f>SUM(D40:D41)</f>
        <v>13300000</v>
      </c>
      <c r="E39" s="34">
        <f>SUM(E40:E41)</f>
        <v>21070000</v>
      </c>
      <c r="F39" s="34">
        <f t="shared" si="0"/>
        <v>682914.1099999994</v>
      </c>
      <c r="G39" s="34">
        <f t="shared" si="1"/>
        <v>7770000</v>
      </c>
      <c r="H39" s="34">
        <f>SUM(H40:H41)</f>
        <v>21210000</v>
      </c>
      <c r="I39" s="34">
        <f>SUM(I40:I41)</f>
        <v>21280000</v>
      </c>
      <c r="J39" s="25"/>
      <c r="K39" s="35"/>
      <c r="L39" s="36"/>
    </row>
    <row r="40" spans="1:12" ht="48" customHeight="1" outlineLevel="1" x14ac:dyDescent="0.2">
      <c r="A40" s="28" t="s">
        <v>49</v>
      </c>
      <c r="B40" s="29" t="s">
        <v>50</v>
      </c>
      <c r="C40" s="30">
        <v>13938165.529999999</v>
      </c>
      <c r="D40" s="30">
        <v>8600000</v>
      </c>
      <c r="E40" s="30">
        <v>15432000</v>
      </c>
      <c r="F40" s="30">
        <f t="shared" si="0"/>
        <v>1493834.4700000007</v>
      </c>
      <c r="G40" s="30">
        <f t="shared" si="1"/>
        <v>6832000</v>
      </c>
      <c r="H40" s="30">
        <v>15432000</v>
      </c>
      <c r="I40" s="30">
        <v>15432000</v>
      </c>
      <c r="J40" s="32"/>
      <c r="K40" s="33"/>
    </row>
    <row r="41" spans="1:12" ht="48.75" customHeight="1" outlineLevel="1" x14ac:dyDescent="0.2">
      <c r="A41" s="28" t="s">
        <v>51</v>
      </c>
      <c r="B41" s="29" t="s">
        <v>52</v>
      </c>
      <c r="C41" s="30">
        <v>6448920.3600000003</v>
      </c>
      <c r="D41" s="30">
        <v>4700000</v>
      </c>
      <c r="E41" s="30">
        <v>5638000</v>
      </c>
      <c r="F41" s="30">
        <f t="shared" si="0"/>
        <v>-810920.36000000034</v>
      </c>
      <c r="G41" s="30">
        <f t="shared" si="1"/>
        <v>938000</v>
      </c>
      <c r="H41" s="30">
        <v>5778000</v>
      </c>
      <c r="I41" s="30">
        <v>5848000</v>
      </c>
      <c r="J41" s="32"/>
      <c r="K41" s="33"/>
    </row>
    <row r="42" spans="1:12" s="77" customFormat="1" ht="15.75" x14ac:dyDescent="0.2">
      <c r="A42" s="72" t="s">
        <v>53</v>
      </c>
      <c r="B42" s="73" t="s">
        <v>54</v>
      </c>
      <c r="C42" s="74">
        <f>SUM(C43:C44)</f>
        <v>8036798.5599999996</v>
      </c>
      <c r="D42" s="74">
        <f>SUM(D43:D44)</f>
        <v>7400000</v>
      </c>
      <c r="E42" s="74">
        <f>SUM(E43:E44)</f>
        <v>7056000</v>
      </c>
      <c r="F42" s="74">
        <f t="shared" si="0"/>
        <v>-980798.55999999959</v>
      </c>
      <c r="G42" s="74">
        <f t="shared" si="1"/>
        <v>-344000</v>
      </c>
      <c r="H42" s="74">
        <f t="shared" ref="H42:I42" si="10">SUM(H43:H44)</f>
        <v>7057000</v>
      </c>
      <c r="I42" s="74">
        <f t="shared" si="10"/>
        <v>7061000</v>
      </c>
      <c r="J42" s="75"/>
      <c r="K42" s="78"/>
      <c r="L42" s="76"/>
    </row>
    <row r="43" spans="1:12" ht="63.75" customHeight="1" outlineLevel="1" x14ac:dyDescent="0.2">
      <c r="A43" s="28" t="s">
        <v>55</v>
      </c>
      <c r="B43" s="29" t="s">
        <v>56</v>
      </c>
      <c r="C43" s="30">
        <v>8036798.5599999996</v>
      </c>
      <c r="D43" s="31">
        <v>7400000</v>
      </c>
      <c r="E43" s="30">
        <v>7056000</v>
      </c>
      <c r="F43" s="30">
        <f t="shared" si="0"/>
        <v>-980798.55999999959</v>
      </c>
      <c r="G43" s="31">
        <f t="shared" si="1"/>
        <v>-344000</v>
      </c>
      <c r="H43" s="30">
        <v>7057000</v>
      </c>
      <c r="I43" s="31">
        <v>7061000</v>
      </c>
      <c r="J43" s="32"/>
      <c r="K43" s="33"/>
    </row>
    <row r="44" spans="1:12" ht="33.75" customHeight="1" outlineLevel="1" x14ac:dyDescent="0.2">
      <c r="A44" s="28" t="s">
        <v>223</v>
      </c>
      <c r="B44" s="29" t="s">
        <v>224</v>
      </c>
      <c r="C44" s="30">
        <v>0</v>
      </c>
      <c r="D44" s="31">
        <f>11330-11330</f>
        <v>0</v>
      </c>
      <c r="E44" s="30">
        <v>0</v>
      </c>
      <c r="F44" s="30">
        <f t="shared" si="0"/>
        <v>0</v>
      </c>
      <c r="G44" s="31">
        <f t="shared" si="1"/>
        <v>0</v>
      </c>
      <c r="H44" s="30">
        <v>0</v>
      </c>
      <c r="I44" s="31">
        <v>0</v>
      </c>
      <c r="J44" s="32"/>
      <c r="K44" s="33"/>
    </row>
    <row r="45" spans="1:12" s="85" customFormat="1" ht="15.75" x14ac:dyDescent="0.2">
      <c r="A45" s="79"/>
      <c r="B45" s="80" t="s">
        <v>57</v>
      </c>
      <c r="C45" s="81">
        <f>C46+C56+C63+C69+C75+C94</f>
        <v>43267640.750000007</v>
      </c>
      <c r="D45" s="81">
        <f>D46+D56+D63+D69+D75+D94</f>
        <v>44469813.730000004</v>
      </c>
      <c r="E45" s="81">
        <f>E46+E56+E63+E69+E75+E94</f>
        <v>37519360</v>
      </c>
      <c r="F45" s="81">
        <f t="shared" si="0"/>
        <v>-5748280.7500000075</v>
      </c>
      <c r="G45" s="81">
        <f t="shared" si="1"/>
        <v>-6950453.7300000042</v>
      </c>
      <c r="H45" s="81">
        <f>H46+H56+H63+H69+H75+H94</f>
        <v>37957859</v>
      </c>
      <c r="I45" s="81">
        <f>I46+I56+I63+I69+I75+I94</f>
        <v>36491919</v>
      </c>
      <c r="J45" s="82"/>
      <c r="K45" s="83"/>
      <c r="L45" s="84"/>
    </row>
    <row r="46" spans="1:12" ht="63" x14ac:dyDescent="0.2">
      <c r="A46" s="23" t="s">
        <v>58</v>
      </c>
      <c r="B46" s="24" t="s">
        <v>59</v>
      </c>
      <c r="C46" s="34">
        <f>C47+C54+C52</f>
        <v>22612162.669999998</v>
      </c>
      <c r="D46" s="34">
        <f>D47+D54+D52</f>
        <v>22042065</v>
      </c>
      <c r="E46" s="34">
        <f>E47+E54+E52</f>
        <v>22841849</v>
      </c>
      <c r="F46" s="34">
        <f t="shared" si="0"/>
        <v>229686.33000000194</v>
      </c>
      <c r="G46" s="34">
        <f t="shared" si="1"/>
        <v>799784</v>
      </c>
      <c r="H46" s="34">
        <f>H47+H54+H52</f>
        <v>22899298</v>
      </c>
      <c r="I46" s="34">
        <f>I47+I54+I52</f>
        <v>22694078</v>
      </c>
      <c r="J46" s="25"/>
      <c r="K46" s="33"/>
    </row>
    <row r="47" spans="1:12" s="17" customFormat="1" ht="112.5" customHeight="1" outlineLevel="1" x14ac:dyDescent="0.2">
      <c r="A47" s="23" t="s">
        <v>60</v>
      </c>
      <c r="B47" s="41" t="s">
        <v>61</v>
      </c>
      <c r="C47" s="42">
        <f>C48+C49+C50+C51</f>
        <v>17616189.059999999</v>
      </c>
      <c r="D47" s="42">
        <f>D48+D49+D50+D51</f>
        <v>14920465</v>
      </c>
      <c r="E47" s="42">
        <f>E48+E49+E50+E51</f>
        <v>15402189</v>
      </c>
      <c r="F47" s="42">
        <f t="shared" si="0"/>
        <v>-2214000.0599999987</v>
      </c>
      <c r="G47" s="42">
        <f t="shared" si="1"/>
        <v>481724</v>
      </c>
      <c r="H47" s="42">
        <f>H48+H49+H50+H51</f>
        <v>15888198</v>
      </c>
      <c r="I47" s="42">
        <f>I48+I49+I50+I51</f>
        <v>16174078</v>
      </c>
      <c r="J47" s="43"/>
      <c r="K47" s="35"/>
    </row>
    <row r="48" spans="1:12" ht="98.25" customHeight="1" outlineLevel="1" x14ac:dyDescent="0.2">
      <c r="A48" s="28" t="s">
        <v>62</v>
      </c>
      <c r="B48" s="29" t="s">
        <v>63</v>
      </c>
      <c r="C48" s="30">
        <v>6705693.2000000002</v>
      </c>
      <c r="D48" s="31">
        <v>6927920</v>
      </c>
      <c r="E48" s="30">
        <v>7373290</v>
      </c>
      <c r="F48" s="30">
        <f t="shared" si="0"/>
        <v>667596.79999999981</v>
      </c>
      <c r="G48" s="31">
        <f t="shared" si="1"/>
        <v>445370</v>
      </c>
      <c r="H48" s="30">
        <v>7658660</v>
      </c>
      <c r="I48" s="31">
        <v>7944540</v>
      </c>
      <c r="J48" s="32"/>
      <c r="K48" s="33"/>
    </row>
    <row r="49" spans="1:11" ht="100.5" customHeight="1" outlineLevel="1" x14ac:dyDescent="0.2">
      <c r="A49" s="28" t="s">
        <v>64</v>
      </c>
      <c r="B49" s="29" t="s">
        <v>65</v>
      </c>
      <c r="C49" s="30">
        <v>20485.39</v>
      </c>
      <c r="D49" s="31">
        <v>18700</v>
      </c>
      <c r="E49" s="30">
        <v>19899</v>
      </c>
      <c r="F49" s="30">
        <f t="shared" si="0"/>
        <v>-586.38999999999942</v>
      </c>
      <c r="G49" s="31">
        <f t="shared" si="1"/>
        <v>1199</v>
      </c>
      <c r="H49" s="30">
        <v>20538</v>
      </c>
      <c r="I49" s="31">
        <v>20538</v>
      </c>
      <c r="J49" s="32"/>
      <c r="K49" s="33"/>
    </row>
    <row r="50" spans="1:11" ht="96.75" customHeight="1" outlineLevel="1" x14ac:dyDescent="0.2">
      <c r="A50" s="28" t="s">
        <v>66</v>
      </c>
      <c r="B50" s="29" t="s">
        <v>67</v>
      </c>
      <c r="C50" s="30">
        <v>8613.2900000000009</v>
      </c>
      <c r="D50" s="31">
        <v>13845</v>
      </c>
      <c r="E50" s="30">
        <v>9000</v>
      </c>
      <c r="F50" s="30">
        <f t="shared" si="0"/>
        <v>386.70999999999913</v>
      </c>
      <c r="G50" s="31">
        <f t="shared" si="1"/>
        <v>-4845</v>
      </c>
      <c r="H50" s="30">
        <v>9000</v>
      </c>
      <c r="I50" s="31">
        <v>9000</v>
      </c>
      <c r="J50" s="32"/>
      <c r="K50" s="33"/>
    </row>
    <row r="51" spans="1:11" ht="48.75" customHeight="1" outlineLevel="1" x14ac:dyDescent="0.2">
      <c r="A51" s="28" t="s">
        <v>68</v>
      </c>
      <c r="B51" s="29" t="s">
        <v>69</v>
      </c>
      <c r="C51" s="30">
        <v>10881397.18</v>
      </c>
      <c r="D51" s="30">
        <f>10460000-2500000</f>
        <v>7960000</v>
      </c>
      <c r="E51" s="30">
        <v>8000000</v>
      </c>
      <c r="F51" s="30">
        <f t="shared" si="0"/>
        <v>-2881397.1799999997</v>
      </c>
      <c r="G51" s="30">
        <f t="shared" si="1"/>
        <v>40000</v>
      </c>
      <c r="H51" s="30">
        <v>8200000</v>
      </c>
      <c r="I51" s="30">
        <v>8200000</v>
      </c>
      <c r="J51" s="32"/>
      <c r="K51" s="33"/>
    </row>
    <row r="52" spans="1:11" s="17" customFormat="1" ht="34.5" customHeight="1" outlineLevel="1" x14ac:dyDescent="0.2">
      <c r="A52" s="23" t="s">
        <v>70</v>
      </c>
      <c r="B52" s="41" t="s">
        <v>71</v>
      </c>
      <c r="C52" s="34">
        <f>C53</f>
        <v>25000</v>
      </c>
      <c r="D52" s="34">
        <f>D53</f>
        <v>21600</v>
      </c>
      <c r="E52" s="34">
        <f>E53</f>
        <v>19000</v>
      </c>
      <c r="F52" s="34">
        <f t="shared" si="0"/>
        <v>-6000</v>
      </c>
      <c r="G52" s="34">
        <f t="shared" si="1"/>
        <v>-2600</v>
      </c>
      <c r="H52" s="34">
        <f>H53</f>
        <v>20000</v>
      </c>
      <c r="I52" s="34">
        <f>I53</f>
        <v>20000</v>
      </c>
      <c r="J52" s="25"/>
      <c r="K52" s="35"/>
    </row>
    <row r="53" spans="1:11" ht="66" customHeight="1" outlineLevel="1" x14ac:dyDescent="0.2">
      <c r="A53" s="28" t="s">
        <v>72</v>
      </c>
      <c r="B53" s="29" t="s">
        <v>73</v>
      </c>
      <c r="C53" s="30">
        <v>25000</v>
      </c>
      <c r="D53" s="30">
        <v>21600</v>
      </c>
      <c r="E53" s="30">
        <v>19000</v>
      </c>
      <c r="F53" s="30">
        <f t="shared" si="0"/>
        <v>-6000</v>
      </c>
      <c r="G53" s="30">
        <f t="shared" si="1"/>
        <v>-2600</v>
      </c>
      <c r="H53" s="30">
        <v>20000</v>
      </c>
      <c r="I53" s="30">
        <v>20000</v>
      </c>
      <c r="J53" s="32"/>
      <c r="K53" s="33"/>
    </row>
    <row r="54" spans="1:11" s="17" customFormat="1" ht="108" customHeight="1" outlineLevel="1" x14ac:dyDescent="0.2">
      <c r="A54" s="23" t="s">
        <v>74</v>
      </c>
      <c r="B54" s="41" t="s">
        <v>75</v>
      </c>
      <c r="C54" s="19">
        <f>C55</f>
        <v>4970973.6100000003</v>
      </c>
      <c r="D54" s="19">
        <f>D55</f>
        <v>7100000</v>
      </c>
      <c r="E54" s="19">
        <f>E55</f>
        <v>7420660</v>
      </c>
      <c r="F54" s="19">
        <f t="shared" si="0"/>
        <v>2449686.3899999997</v>
      </c>
      <c r="G54" s="19">
        <f t="shared" si="1"/>
        <v>320660</v>
      </c>
      <c r="H54" s="19">
        <f>H55</f>
        <v>6991100</v>
      </c>
      <c r="I54" s="19">
        <f>I55</f>
        <v>6500000</v>
      </c>
      <c r="J54" s="25"/>
      <c r="K54" s="35"/>
    </row>
    <row r="55" spans="1:11" ht="93" customHeight="1" outlineLevel="1" x14ac:dyDescent="0.2">
      <c r="A55" s="28" t="s">
        <v>76</v>
      </c>
      <c r="B55" s="29" t="s">
        <v>77</v>
      </c>
      <c r="C55" s="30">
        <v>4970973.6100000003</v>
      </c>
      <c r="D55" s="30">
        <v>7100000</v>
      </c>
      <c r="E55" s="30">
        <f>1500000+5920660</f>
        <v>7420660</v>
      </c>
      <c r="F55" s="30">
        <f t="shared" si="0"/>
        <v>2449686.3899999997</v>
      </c>
      <c r="G55" s="30">
        <f t="shared" si="1"/>
        <v>320660</v>
      </c>
      <c r="H55" s="30">
        <f>1500000+5491100</f>
        <v>6991100</v>
      </c>
      <c r="I55" s="30">
        <f>1500000+5000000</f>
        <v>6500000</v>
      </c>
      <c r="J55" s="32"/>
      <c r="K55" s="33"/>
    </row>
    <row r="56" spans="1:11" s="17" customFormat="1" ht="33.75" customHeight="1" x14ac:dyDescent="0.2">
      <c r="A56" s="23" t="s">
        <v>78</v>
      </c>
      <c r="B56" s="24" t="s">
        <v>79</v>
      </c>
      <c r="C56" s="34">
        <f>C57+C60</f>
        <v>1732452.7599999998</v>
      </c>
      <c r="D56" s="34">
        <f>D57+D60</f>
        <v>4045548.73</v>
      </c>
      <c r="E56" s="34">
        <f>E57+E60</f>
        <v>2315000</v>
      </c>
      <c r="F56" s="34">
        <f t="shared" si="0"/>
        <v>582547.24000000022</v>
      </c>
      <c r="G56" s="34">
        <f t="shared" si="1"/>
        <v>-1730548.73</v>
      </c>
      <c r="H56" s="34">
        <f>H57+H60</f>
        <v>2315000</v>
      </c>
      <c r="I56" s="34">
        <f>I57+I60</f>
        <v>2315000</v>
      </c>
      <c r="J56" s="25"/>
      <c r="K56" s="35"/>
    </row>
    <row r="57" spans="1:11" s="17" customFormat="1" ht="33.75" customHeight="1" outlineLevel="1" x14ac:dyDescent="0.2">
      <c r="A57" s="23" t="s">
        <v>80</v>
      </c>
      <c r="B57" s="41" t="s">
        <v>81</v>
      </c>
      <c r="C57" s="19">
        <f>SUM(C58:C59)</f>
        <v>1395653.64</v>
      </c>
      <c r="D57" s="19">
        <f>SUM(D58:D59)</f>
        <v>682669.27</v>
      </c>
      <c r="E57" s="19">
        <f>SUM(E58:E59)</f>
        <v>2000000</v>
      </c>
      <c r="F57" s="19">
        <f t="shared" si="0"/>
        <v>604346.3600000001</v>
      </c>
      <c r="G57" s="19">
        <f t="shared" si="1"/>
        <v>1317330.73</v>
      </c>
      <c r="H57" s="19">
        <f>SUM(H58:H59)</f>
        <v>2000000</v>
      </c>
      <c r="I57" s="19">
        <f>SUM(I58:I59)</f>
        <v>2000000</v>
      </c>
      <c r="J57" s="25"/>
      <c r="K57" s="35"/>
    </row>
    <row r="58" spans="1:11" ht="33.75" customHeight="1" outlineLevel="1" x14ac:dyDescent="0.2">
      <c r="A58" s="28" t="s">
        <v>82</v>
      </c>
      <c r="B58" s="29" t="s">
        <v>83</v>
      </c>
      <c r="C58" s="30">
        <v>-226296.78</v>
      </c>
      <c r="D58" s="30">
        <v>-116097.47</v>
      </c>
      <c r="E58" s="30">
        <v>300000</v>
      </c>
      <c r="F58" s="30">
        <f t="shared" si="0"/>
        <v>526296.78</v>
      </c>
      <c r="G58" s="30">
        <f t="shared" si="1"/>
        <v>416097.47</v>
      </c>
      <c r="H58" s="30">
        <v>300000</v>
      </c>
      <c r="I58" s="30">
        <v>300000</v>
      </c>
      <c r="J58" s="32"/>
      <c r="K58" s="33"/>
    </row>
    <row r="59" spans="1:11" ht="33" customHeight="1" outlineLevel="1" x14ac:dyDescent="0.2">
      <c r="A59" s="28" t="s">
        <v>84</v>
      </c>
      <c r="B59" s="29" t="s">
        <v>85</v>
      </c>
      <c r="C59" s="30">
        <v>1621950.42</v>
      </c>
      <c r="D59" s="30">
        <v>798766.74</v>
      </c>
      <c r="E59" s="30">
        <v>1700000</v>
      </c>
      <c r="F59" s="30">
        <f t="shared" si="0"/>
        <v>78049.580000000075</v>
      </c>
      <c r="G59" s="30">
        <f t="shared" si="1"/>
        <v>901233.26</v>
      </c>
      <c r="H59" s="30">
        <v>1700000</v>
      </c>
      <c r="I59" s="30">
        <v>1700000</v>
      </c>
      <c r="J59" s="32"/>
      <c r="K59" s="33"/>
    </row>
    <row r="60" spans="1:11" s="17" customFormat="1" ht="33.75" customHeight="1" outlineLevel="1" x14ac:dyDescent="0.2">
      <c r="A60" s="23" t="s">
        <v>86</v>
      </c>
      <c r="B60" s="41" t="s">
        <v>87</v>
      </c>
      <c r="C60" s="19">
        <f>SUM(C61:C62)</f>
        <v>336799.12</v>
      </c>
      <c r="D60" s="19">
        <f>SUM(D61:D62)</f>
        <v>3362879.46</v>
      </c>
      <c r="E60" s="19">
        <f>SUM(E61:E62)</f>
        <v>315000</v>
      </c>
      <c r="F60" s="19">
        <f t="shared" si="0"/>
        <v>-21799.119999999995</v>
      </c>
      <c r="G60" s="19">
        <f t="shared" si="1"/>
        <v>-3047879.46</v>
      </c>
      <c r="H60" s="19">
        <f>SUM(H61:H62)</f>
        <v>315000</v>
      </c>
      <c r="I60" s="19">
        <f>SUM(I61:I62)</f>
        <v>315000</v>
      </c>
      <c r="J60" s="25"/>
      <c r="K60" s="35"/>
    </row>
    <row r="61" spans="1:11" ht="18" customHeight="1" outlineLevel="1" x14ac:dyDescent="0.2">
      <c r="A61" s="28" t="s">
        <v>88</v>
      </c>
      <c r="B61" s="29" t="s">
        <v>89</v>
      </c>
      <c r="C61" s="30">
        <v>328662.71000000002</v>
      </c>
      <c r="D61" s="30">
        <v>3355937.11</v>
      </c>
      <c r="E61" s="30">
        <v>300000</v>
      </c>
      <c r="F61" s="30">
        <f t="shared" si="0"/>
        <v>-28662.710000000021</v>
      </c>
      <c r="G61" s="30">
        <f t="shared" si="1"/>
        <v>-3055937.11</v>
      </c>
      <c r="H61" s="30">
        <v>300000</v>
      </c>
      <c r="I61" s="30">
        <v>300000</v>
      </c>
      <c r="J61" s="32"/>
      <c r="K61" s="33"/>
    </row>
    <row r="62" spans="1:11" ht="35.25" customHeight="1" outlineLevel="1" x14ac:dyDescent="0.2">
      <c r="A62" s="28" t="s">
        <v>90</v>
      </c>
      <c r="B62" s="29" t="s">
        <v>91</v>
      </c>
      <c r="C62" s="30">
        <v>8136.41</v>
      </c>
      <c r="D62" s="30">
        <v>6942.35</v>
      </c>
      <c r="E62" s="30">
        <v>15000</v>
      </c>
      <c r="F62" s="30">
        <f t="shared" si="0"/>
        <v>6863.59</v>
      </c>
      <c r="G62" s="30">
        <f t="shared" si="1"/>
        <v>8057.65</v>
      </c>
      <c r="H62" s="30">
        <v>15000</v>
      </c>
      <c r="I62" s="30">
        <v>15000</v>
      </c>
      <c r="J62" s="32"/>
      <c r="K62" s="33"/>
    </row>
    <row r="63" spans="1:11" s="17" customFormat="1" ht="30" customHeight="1" x14ac:dyDescent="0.2">
      <c r="A63" s="23" t="s">
        <v>92</v>
      </c>
      <c r="B63" s="24" t="s">
        <v>93</v>
      </c>
      <c r="C63" s="34">
        <f>C64+C66</f>
        <v>1562965.26</v>
      </c>
      <c r="D63" s="34">
        <f>D64+D66</f>
        <v>1400000</v>
      </c>
      <c r="E63" s="34">
        <f>E64+E66</f>
        <v>311600</v>
      </c>
      <c r="F63" s="34">
        <f t="shared" si="0"/>
        <v>-1251365.26</v>
      </c>
      <c r="G63" s="34">
        <f t="shared" si="1"/>
        <v>-1088400</v>
      </c>
      <c r="H63" s="34">
        <f>H64+H66</f>
        <v>346900</v>
      </c>
      <c r="I63" s="34">
        <f>I64+I66</f>
        <v>346900</v>
      </c>
      <c r="J63" s="25"/>
      <c r="K63" s="35"/>
    </row>
    <row r="64" spans="1:11" s="17" customFormat="1" ht="18" customHeight="1" outlineLevel="1" x14ac:dyDescent="0.2">
      <c r="A64" s="23" t="s">
        <v>94</v>
      </c>
      <c r="B64" s="41" t="s">
        <v>95</v>
      </c>
      <c r="C64" s="19">
        <f>C65</f>
        <v>833762.15</v>
      </c>
      <c r="D64" s="19">
        <f>D65</f>
        <v>400000</v>
      </c>
      <c r="E64" s="19">
        <f>E65</f>
        <v>239800</v>
      </c>
      <c r="F64" s="19">
        <f t="shared" si="0"/>
        <v>-593962.15</v>
      </c>
      <c r="G64" s="19">
        <f t="shared" si="1"/>
        <v>-160200</v>
      </c>
      <c r="H64" s="19">
        <f>H65</f>
        <v>240900</v>
      </c>
      <c r="I64" s="19">
        <f>I65</f>
        <v>240900</v>
      </c>
      <c r="J64" s="25"/>
      <c r="K64" s="35"/>
    </row>
    <row r="65" spans="1:11" ht="46.5" customHeight="1" outlineLevel="1" x14ac:dyDescent="0.2">
      <c r="A65" s="28" t="s">
        <v>96</v>
      </c>
      <c r="B65" s="29" t="s">
        <v>97</v>
      </c>
      <c r="C65" s="30">
        <v>833762.15</v>
      </c>
      <c r="D65" s="30">
        <v>400000</v>
      </c>
      <c r="E65" s="30">
        <v>239800</v>
      </c>
      <c r="F65" s="30">
        <f t="shared" si="0"/>
        <v>-593962.15</v>
      </c>
      <c r="G65" s="30">
        <f t="shared" si="1"/>
        <v>-160200</v>
      </c>
      <c r="H65" s="30">
        <v>240900</v>
      </c>
      <c r="I65" s="30">
        <v>240900</v>
      </c>
      <c r="J65" s="32"/>
      <c r="K65" s="33"/>
    </row>
    <row r="66" spans="1:11" s="17" customFormat="1" ht="18" customHeight="1" outlineLevel="1" x14ac:dyDescent="0.2">
      <c r="A66" s="23" t="s">
        <v>98</v>
      </c>
      <c r="B66" s="41" t="s">
        <v>99</v>
      </c>
      <c r="C66" s="19">
        <f>SUM(C67:C68)</f>
        <v>729203.11</v>
      </c>
      <c r="D66" s="19">
        <f t="shared" ref="D66:E66" si="11">SUM(D67:D68)</f>
        <v>1000000</v>
      </c>
      <c r="E66" s="19">
        <f t="shared" si="11"/>
        <v>71800</v>
      </c>
      <c r="F66" s="19">
        <f t="shared" si="0"/>
        <v>-657403.11</v>
      </c>
      <c r="G66" s="19">
        <f t="shared" si="1"/>
        <v>-928200</v>
      </c>
      <c r="H66" s="19">
        <f t="shared" ref="H66:I66" si="12">SUM(H67:H68)</f>
        <v>106000</v>
      </c>
      <c r="I66" s="19">
        <f t="shared" si="12"/>
        <v>106000</v>
      </c>
      <c r="J66" s="25"/>
      <c r="K66" s="35"/>
    </row>
    <row r="67" spans="1:11" ht="50.25" customHeight="1" outlineLevel="1" x14ac:dyDescent="0.2">
      <c r="A67" s="28" t="s">
        <v>203</v>
      </c>
      <c r="B67" s="29" t="s">
        <v>204</v>
      </c>
      <c r="C67" s="30">
        <v>37986.199999999997</v>
      </c>
      <c r="D67" s="30">
        <f>41785-41785</f>
        <v>0</v>
      </c>
      <c r="E67" s="30">
        <v>0</v>
      </c>
      <c r="F67" s="30">
        <f t="shared" si="0"/>
        <v>-37986.199999999997</v>
      </c>
      <c r="G67" s="30">
        <f t="shared" si="1"/>
        <v>0</v>
      </c>
      <c r="H67" s="30">
        <v>0</v>
      </c>
      <c r="I67" s="30">
        <v>0</v>
      </c>
      <c r="J67" s="32"/>
      <c r="K67" s="33"/>
    </row>
    <row r="68" spans="1:11" ht="35.25" customHeight="1" outlineLevel="1" x14ac:dyDescent="0.2">
      <c r="A68" s="28" t="s">
        <v>100</v>
      </c>
      <c r="B68" s="29" t="s">
        <v>101</v>
      </c>
      <c r="C68" s="30">
        <v>691216.91</v>
      </c>
      <c r="D68" s="30">
        <v>1000000</v>
      </c>
      <c r="E68" s="30">
        <v>71800</v>
      </c>
      <c r="F68" s="30">
        <f t="shared" si="0"/>
        <v>-619416.91</v>
      </c>
      <c r="G68" s="30">
        <f t="shared" si="1"/>
        <v>-928200</v>
      </c>
      <c r="H68" s="30">
        <v>106000</v>
      </c>
      <c r="I68" s="30">
        <v>106000</v>
      </c>
      <c r="J68" s="32"/>
      <c r="K68" s="33"/>
    </row>
    <row r="69" spans="1:11" s="17" customFormat="1" ht="31.5" x14ac:dyDescent="0.2">
      <c r="A69" s="23" t="s">
        <v>102</v>
      </c>
      <c r="B69" s="24" t="s">
        <v>103</v>
      </c>
      <c r="C69" s="34">
        <f>C70+C71</f>
        <v>8464748.4600000009</v>
      </c>
      <c r="D69" s="19">
        <f>D70+D71</f>
        <v>8267200</v>
      </c>
      <c r="E69" s="34">
        <f>E70+E71</f>
        <v>8184510</v>
      </c>
      <c r="F69" s="34">
        <f t="shared" si="0"/>
        <v>-280238.46000000089</v>
      </c>
      <c r="G69" s="19">
        <f t="shared" si="1"/>
        <v>-82690</v>
      </c>
      <c r="H69" s="34">
        <f>H70+H71</f>
        <v>8599440</v>
      </c>
      <c r="I69" s="19">
        <f>I70+I71</f>
        <v>7332210</v>
      </c>
      <c r="J69" s="25"/>
      <c r="K69" s="35"/>
    </row>
    <row r="70" spans="1:11" ht="126" outlineLevel="1" x14ac:dyDescent="0.2">
      <c r="A70" s="28" t="s">
        <v>104</v>
      </c>
      <c r="B70" s="38" t="s">
        <v>105</v>
      </c>
      <c r="C70" s="30">
        <v>3415943.41</v>
      </c>
      <c r="D70" s="31">
        <v>3600000</v>
      </c>
      <c r="E70" s="30">
        <v>3500000</v>
      </c>
      <c r="F70" s="30">
        <f t="shared" si="0"/>
        <v>84056.589999999851</v>
      </c>
      <c r="G70" s="31">
        <f t="shared" si="1"/>
        <v>-100000</v>
      </c>
      <c r="H70" s="30">
        <v>3000000</v>
      </c>
      <c r="I70" s="31">
        <v>2500000</v>
      </c>
      <c r="J70" s="39"/>
      <c r="K70" s="33"/>
    </row>
    <row r="71" spans="1:11" s="17" customFormat="1" ht="47.25" outlineLevel="1" x14ac:dyDescent="0.2">
      <c r="A71" s="23" t="s">
        <v>106</v>
      </c>
      <c r="B71" s="24" t="s">
        <v>107</v>
      </c>
      <c r="C71" s="34">
        <f>SUM(C72:C74)</f>
        <v>5048805.05</v>
      </c>
      <c r="D71" s="34">
        <f>SUM(D72:D74)</f>
        <v>4667200</v>
      </c>
      <c r="E71" s="34">
        <f>SUM(E72:E74)</f>
        <v>4684510</v>
      </c>
      <c r="F71" s="34">
        <f t="shared" si="0"/>
        <v>-364295.04999999981</v>
      </c>
      <c r="G71" s="34">
        <f t="shared" si="1"/>
        <v>17310</v>
      </c>
      <c r="H71" s="34">
        <f>SUM(H72:H74)</f>
        <v>5599440</v>
      </c>
      <c r="I71" s="34">
        <f>SUM(I72:I74)</f>
        <v>4832210</v>
      </c>
      <c r="J71" s="25"/>
      <c r="K71" s="35"/>
    </row>
    <row r="72" spans="1:11" ht="64.5" customHeight="1" outlineLevel="1" x14ac:dyDescent="0.2">
      <c r="A72" s="28" t="s">
        <v>108</v>
      </c>
      <c r="B72" s="29" t="s">
        <v>109</v>
      </c>
      <c r="C72" s="30">
        <v>3878921.32</v>
      </c>
      <c r="D72" s="30">
        <v>4177460</v>
      </c>
      <c r="E72" s="30">
        <v>4177460</v>
      </c>
      <c r="F72" s="30">
        <f t="shared" si="0"/>
        <v>298538.68000000017</v>
      </c>
      <c r="G72" s="30">
        <f t="shared" si="1"/>
        <v>0</v>
      </c>
      <c r="H72" s="30">
        <v>5109230</v>
      </c>
      <c r="I72" s="30">
        <v>4388540</v>
      </c>
      <c r="J72" s="32"/>
      <c r="K72" s="33"/>
    </row>
    <row r="73" spans="1:11" ht="79.5" customHeight="1" outlineLevel="1" x14ac:dyDescent="0.2">
      <c r="A73" s="28" t="s">
        <v>110</v>
      </c>
      <c r="B73" s="29" t="s">
        <v>111</v>
      </c>
      <c r="C73" s="30">
        <v>679062.65</v>
      </c>
      <c r="D73" s="30">
        <f>120000+37200</f>
        <v>157200</v>
      </c>
      <c r="E73" s="30">
        <v>0</v>
      </c>
      <c r="F73" s="30">
        <f t="shared" si="0"/>
        <v>-679062.65</v>
      </c>
      <c r="G73" s="30">
        <f t="shared" si="1"/>
        <v>-157200</v>
      </c>
      <c r="H73" s="30">
        <v>0</v>
      </c>
      <c r="I73" s="30">
        <v>0</v>
      </c>
      <c r="J73" s="32"/>
      <c r="K73" s="33"/>
    </row>
    <row r="74" spans="1:11" ht="109.5" customHeight="1" outlineLevel="1" x14ac:dyDescent="0.2">
      <c r="A74" s="28" t="s">
        <v>112</v>
      </c>
      <c r="B74" s="29" t="s">
        <v>113</v>
      </c>
      <c r="C74" s="30">
        <v>490821.08</v>
      </c>
      <c r="D74" s="31">
        <v>332540</v>
      </c>
      <c r="E74" s="30">
        <v>507050</v>
      </c>
      <c r="F74" s="30">
        <f t="shared" si="0"/>
        <v>16228.919999999984</v>
      </c>
      <c r="G74" s="30">
        <f t="shared" si="1"/>
        <v>174510</v>
      </c>
      <c r="H74" s="30">
        <v>490210</v>
      </c>
      <c r="I74" s="30">
        <v>443670</v>
      </c>
      <c r="J74" s="32"/>
      <c r="K74" s="33"/>
    </row>
    <row r="75" spans="1:11" s="17" customFormat="1" ht="34.5" customHeight="1" x14ac:dyDescent="0.2">
      <c r="A75" s="23" t="s">
        <v>114</v>
      </c>
      <c r="B75" s="24" t="s">
        <v>115</v>
      </c>
      <c r="C75" s="34">
        <v>7339403.75</v>
      </c>
      <c r="D75" s="34">
        <f>D76+D86+D88+D91</f>
        <v>7000000</v>
      </c>
      <c r="E75" s="34">
        <f>E76+E86+E88+E91</f>
        <v>2106291</v>
      </c>
      <c r="F75" s="34">
        <f t="shared" si="0"/>
        <v>-5233112.75</v>
      </c>
      <c r="G75" s="34">
        <f t="shared" si="1"/>
        <v>-4893709</v>
      </c>
      <c r="H75" s="34">
        <f>H76+H86+H88+H91</f>
        <v>2085691</v>
      </c>
      <c r="I75" s="34">
        <f>I76+I86+I88+I91</f>
        <v>2057991</v>
      </c>
      <c r="J75" s="25"/>
      <c r="K75" s="35"/>
    </row>
    <row r="76" spans="1:11" s="17" customFormat="1" ht="47.25" outlineLevel="1" x14ac:dyDescent="0.2">
      <c r="A76" s="23" t="s">
        <v>116</v>
      </c>
      <c r="B76" s="24" t="s">
        <v>117</v>
      </c>
      <c r="C76" s="34">
        <f>SUM(C77:C85)</f>
        <v>0</v>
      </c>
      <c r="D76" s="34">
        <f>SUM(D77:D85)</f>
        <v>253700</v>
      </c>
      <c r="E76" s="34">
        <f>SUM(E77:E85)</f>
        <v>365911</v>
      </c>
      <c r="F76" s="34">
        <f t="shared" si="0"/>
        <v>365911</v>
      </c>
      <c r="G76" s="34">
        <f t="shared" si="1"/>
        <v>112211</v>
      </c>
      <c r="H76" s="34">
        <f>SUM(H77:H85)</f>
        <v>365911</v>
      </c>
      <c r="I76" s="34">
        <f>SUM(I77:I85)</f>
        <v>365911</v>
      </c>
      <c r="J76" s="25"/>
      <c r="K76" s="44">
        <v>785</v>
      </c>
    </row>
    <row r="77" spans="1:11" ht="111.75" customHeight="1" outlineLevel="1" x14ac:dyDescent="0.2">
      <c r="A77" s="28" t="s">
        <v>118</v>
      </c>
      <c r="B77" s="29" t="s">
        <v>119</v>
      </c>
      <c r="C77" s="30"/>
      <c r="D77" s="30">
        <v>1100</v>
      </c>
      <c r="E77" s="30">
        <v>811</v>
      </c>
      <c r="F77" s="30">
        <f t="shared" si="0"/>
        <v>811</v>
      </c>
      <c r="G77" s="30">
        <f t="shared" si="1"/>
        <v>-289</v>
      </c>
      <c r="H77" s="30">
        <v>811</v>
      </c>
      <c r="I77" s="30">
        <v>811</v>
      </c>
      <c r="J77" s="32"/>
      <c r="K77" s="33">
        <v>0.81100000000000005</v>
      </c>
    </row>
    <row r="78" spans="1:11" ht="144.75" customHeight="1" outlineLevel="1" x14ac:dyDescent="0.2">
      <c r="A78" s="28" t="s">
        <v>120</v>
      </c>
      <c r="B78" s="29" t="s">
        <v>121</v>
      </c>
      <c r="C78" s="30"/>
      <c r="D78" s="30">
        <v>47000</v>
      </c>
      <c r="E78" s="30">
        <v>24600</v>
      </c>
      <c r="F78" s="30">
        <f t="shared" si="0"/>
        <v>24600</v>
      </c>
      <c r="G78" s="30">
        <f t="shared" si="1"/>
        <v>-22400</v>
      </c>
      <c r="H78" s="30">
        <v>24600</v>
      </c>
      <c r="I78" s="30">
        <v>24600</v>
      </c>
      <c r="J78" s="32"/>
      <c r="K78" s="33">
        <v>24.6</v>
      </c>
    </row>
    <row r="79" spans="1:11" ht="109.5" customHeight="1" outlineLevel="1" x14ac:dyDescent="0.2">
      <c r="A79" s="28" t="s">
        <v>122</v>
      </c>
      <c r="B79" s="29" t="s">
        <v>123</v>
      </c>
      <c r="C79" s="30"/>
      <c r="D79" s="30">
        <f>200+1750</f>
        <v>1950</v>
      </c>
      <c r="E79" s="30">
        <v>480</v>
      </c>
      <c r="F79" s="30">
        <f t="shared" si="0"/>
        <v>480</v>
      </c>
      <c r="G79" s="30">
        <f t="shared" si="1"/>
        <v>-1470</v>
      </c>
      <c r="H79" s="30">
        <v>480</v>
      </c>
      <c r="I79" s="30">
        <v>480</v>
      </c>
      <c r="J79" s="32"/>
      <c r="K79" s="33">
        <v>0.48</v>
      </c>
    </row>
    <row r="80" spans="1:11" ht="111.75" customHeight="1" outlineLevel="1" x14ac:dyDescent="0.2">
      <c r="A80" s="28" t="s">
        <v>227</v>
      </c>
      <c r="B80" s="29" t="s">
        <v>228</v>
      </c>
      <c r="C80" s="30"/>
      <c r="D80" s="30">
        <v>16500</v>
      </c>
      <c r="E80" s="30">
        <v>0</v>
      </c>
      <c r="F80" s="30">
        <f t="shared" ref="F80" si="13">E80-C80</f>
        <v>0</v>
      </c>
      <c r="G80" s="30">
        <f t="shared" ref="G80" si="14">E80-D80</f>
        <v>-16500</v>
      </c>
      <c r="H80" s="30">
        <v>0</v>
      </c>
      <c r="I80" s="30">
        <v>0</v>
      </c>
      <c r="J80" s="32"/>
      <c r="K80" s="33"/>
    </row>
    <row r="81" spans="1:13" ht="130.5" customHeight="1" outlineLevel="1" x14ac:dyDescent="0.2">
      <c r="A81" s="28" t="s">
        <v>124</v>
      </c>
      <c r="B81" s="29" t="s">
        <v>125</v>
      </c>
      <c r="C81" s="30"/>
      <c r="D81" s="30">
        <f>25000+16000</f>
        <v>41000</v>
      </c>
      <c r="E81" s="30">
        <v>56460</v>
      </c>
      <c r="F81" s="30">
        <f t="shared" si="0"/>
        <v>56460</v>
      </c>
      <c r="G81" s="30">
        <f t="shared" si="1"/>
        <v>15460</v>
      </c>
      <c r="H81" s="30">
        <v>56460</v>
      </c>
      <c r="I81" s="30">
        <v>56460</v>
      </c>
      <c r="J81" s="32"/>
      <c r="K81" s="33">
        <v>56.46</v>
      </c>
    </row>
    <row r="82" spans="1:13" ht="163.5" customHeight="1" outlineLevel="1" x14ac:dyDescent="0.2">
      <c r="A82" s="28" t="s">
        <v>126</v>
      </c>
      <c r="B82" s="29" t="s">
        <v>127</v>
      </c>
      <c r="C82" s="30"/>
      <c r="D82" s="30">
        <v>1000</v>
      </c>
      <c r="E82" s="30">
        <v>1080</v>
      </c>
      <c r="F82" s="30">
        <f t="shared" ref="F82:F126" si="15">E82-C82</f>
        <v>1080</v>
      </c>
      <c r="G82" s="30">
        <f t="shared" ref="G82:G126" si="16">E82-D82</f>
        <v>80</v>
      </c>
      <c r="H82" s="30">
        <v>1080</v>
      </c>
      <c r="I82" s="30">
        <v>1080</v>
      </c>
      <c r="J82" s="32"/>
      <c r="K82" s="33">
        <v>1.08</v>
      </c>
    </row>
    <row r="83" spans="1:13" ht="109.5" customHeight="1" outlineLevel="1" x14ac:dyDescent="0.2">
      <c r="A83" s="28" t="s">
        <v>128</v>
      </c>
      <c r="B83" s="29" t="s">
        <v>129</v>
      </c>
      <c r="C83" s="30"/>
      <c r="D83" s="30">
        <v>1000</v>
      </c>
      <c r="E83" s="30">
        <v>2400</v>
      </c>
      <c r="F83" s="30">
        <f t="shared" si="15"/>
        <v>2400</v>
      </c>
      <c r="G83" s="30">
        <f t="shared" si="16"/>
        <v>1400</v>
      </c>
      <c r="H83" s="30">
        <v>2400</v>
      </c>
      <c r="I83" s="30">
        <v>2400</v>
      </c>
      <c r="J83" s="32"/>
      <c r="K83" s="33">
        <v>2.4</v>
      </c>
    </row>
    <row r="84" spans="1:13" ht="113.25" customHeight="1" outlineLevel="1" x14ac:dyDescent="0.2">
      <c r="A84" s="28" t="s">
        <v>130</v>
      </c>
      <c r="B84" s="29" t="s">
        <v>131</v>
      </c>
      <c r="C84" s="30"/>
      <c r="D84" s="30">
        <v>51000</v>
      </c>
      <c r="E84" s="30">
        <v>228000</v>
      </c>
      <c r="F84" s="30">
        <f t="shared" si="15"/>
        <v>228000</v>
      </c>
      <c r="G84" s="30">
        <f t="shared" si="16"/>
        <v>177000</v>
      </c>
      <c r="H84" s="30">
        <v>228000</v>
      </c>
      <c r="I84" s="30">
        <v>228000</v>
      </c>
      <c r="J84" s="32"/>
      <c r="K84" s="33">
        <v>228</v>
      </c>
    </row>
    <row r="85" spans="1:13" ht="126" customHeight="1" outlineLevel="1" x14ac:dyDescent="0.2">
      <c r="A85" s="28" t="s">
        <v>132</v>
      </c>
      <c r="B85" s="29" t="s">
        <v>133</v>
      </c>
      <c r="C85" s="30"/>
      <c r="D85" s="30">
        <v>93150</v>
      </c>
      <c r="E85" s="30">
        <v>52080</v>
      </c>
      <c r="F85" s="30">
        <f t="shared" si="15"/>
        <v>52080</v>
      </c>
      <c r="G85" s="30">
        <f t="shared" si="16"/>
        <v>-41070</v>
      </c>
      <c r="H85" s="30">
        <v>52080</v>
      </c>
      <c r="I85" s="30">
        <v>52080</v>
      </c>
      <c r="J85" s="32"/>
      <c r="K85" s="33">
        <v>52.08</v>
      </c>
    </row>
    <row r="86" spans="1:13" s="17" customFormat="1" ht="47.25" outlineLevel="1" x14ac:dyDescent="0.2">
      <c r="A86" s="23" t="s">
        <v>134</v>
      </c>
      <c r="B86" s="24" t="s">
        <v>135</v>
      </c>
      <c r="C86" s="34"/>
      <c r="D86" s="34">
        <f>D87</f>
        <v>43500</v>
      </c>
      <c r="E86" s="34">
        <f>E87</f>
        <v>15400</v>
      </c>
      <c r="F86" s="34">
        <f t="shared" si="15"/>
        <v>15400</v>
      </c>
      <c r="G86" s="34">
        <f t="shared" si="16"/>
        <v>-28100</v>
      </c>
      <c r="H86" s="34">
        <f>H87</f>
        <v>15400</v>
      </c>
      <c r="I86" s="34">
        <f>I87</f>
        <v>15400</v>
      </c>
      <c r="J86" s="25"/>
      <c r="K86" s="35" t="s">
        <v>136</v>
      </c>
    </row>
    <row r="87" spans="1:13" ht="65.25" customHeight="1" outlineLevel="1" x14ac:dyDescent="0.2">
      <c r="A87" s="28" t="s">
        <v>137</v>
      </c>
      <c r="B87" s="29" t="s">
        <v>138</v>
      </c>
      <c r="C87" s="30"/>
      <c r="D87" s="30">
        <v>43500</v>
      </c>
      <c r="E87" s="30">
        <v>15400</v>
      </c>
      <c r="F87" s="30">
        <f t="shared" si="15"/>
        <v>15400</v>
      </c>
      <c r="G87" s="30">
        <f t="shared" si="16"/>
        <v>-28100</v>
      </c>
      <c r="H87" s="30">
        <v>15400</v>
      </c>
      <c r="I87" s="30">
        <v>15400</v>
      </c>
      <c r="J87" s="32"/>
      <c r="K87" s="33">
        <v>15.4</v>
      </c>
    </row>
    <row r="88" spans="1:13" s="17" customFormat="1" ht="143.25" customHeight="1" outlineLevel="1" x14ac:dyDescent="0.2">
      <c r="A88" s="23" t="s">
        <v>231</v>
      </c>
      <c r="B88" s="24" t="s">
        <v>139</v>
      </c>
      <c r="C88" s="34"/>
      <c r="D88" s="34">
        <f>SUM(D89:D90)</f>
        <v>1279000</v>
      </c>
      <c r="E88" s="34">
        <f>SUM(E89:E90)</f>
        <v>522900</v>
      </c>
      <c r="F88" s="34">
        <f t="shared" si="15"/>
        <v>522900</v>
      </c>
      <c r="G88" s="34">
        <f t="shared" si="16"/>
        <v>-756100</v>
      </c>
      <c r="H88" s="34">
        <f>SUM(H89:H90)</f>
        <v>483600</v>
      </c>
      <c r="I88" s="34">
        <f>SUM(I89:I90)</f>
        <v>483600</v>
      </c>
      <c r="J88" s="25"/>
      <c r="K88" s="35"/>
    </row>
    <row r="89" spans="1:13" ht="99" customHeight="1" outlineLevel="1" x14ac:dyDescent="0.2">
      <c r="A89" s="28" t="s">
        <v>140</v>
      </c>
      <c r="B89" s="29" t="s">
        <v>141</v>
      </c>
      <c r="C89" s="30"/>
      <c r="D89" s="30">
        <v>458000</v>
      </c>
      <c r="E89" s="30"/>
      <c r="F89" s="30">
        <f t="shared" si="15"/>
        <v>0</v>
      </c>
      <c r="G89" s="30">
        <f t="shared" si="16"/>
        <v>-458000</v>
      </c>
      <c r="H89" s="30"/>
      <c r="I89" s="30"/>
      <c r="J89" s="32"/>
      <c r="K89" s="33"/>
    </row>
    <row r="90" spans="1:13" ht="99" customHeight="1" outlineLevel="1" x14ac:dyDescent="0.2">
      <c r="A90" s="28" t="s">
        <v>142</v>
      </c>
      <c r="B90" s="29" t="s">
        <v>143</v>
      </c>
      <c r="C90" s="30"/>
      <c r="D90" s="30">
        <v>821000</v>
      </c>
      <c r="E90" s="30">
        <v>522900</v>
      </c>
      <c r="F90" s="30">
        <f t="shared" si="15"/>
        <v>522900</v>
      </c>
      <c r="G90" s="30">
        <f t="shared" si="16"/>
        <v>-298100</v>
      </c>
      <c r="H90" s="30">
        <v>483600</v>
      </c>
      <c r="I90" s="30">
        <v>483600</v>
      </c>
      <c r="J90" s="32"/>
      <c r="K90" s="33"/>
    </row>
    <row r="91" spans="1:13" s="17" customFormat="1" ht="34.5" customHeight="1" outlineLevel="1" x14ac:dyDescent="0.2">
      <c r="A91" s="23" t="s">
        <v>144</v>
      </c>
      <c r="B91" s="24" t="s">
        <v>145</v>
      </c>
      <c r="C91" s="34"/>
      <c r="D91" s="34">
        <f>SUM(D92:D93)</f>
        <v>5423800</v>
      </c>
      <c r="E91" s="34">
        <f>SUM(E92:E93)</f>
        <v>1202080</v>
      </c>
      <c r="F91" s="34">
        <f t="shared" si="15"/>
        <v>1202080</v>
      </c>
      <c r="G91" s="34">
        <f t="shared" si="16"/>
        <v>-4221720</v>
      </c>
      <c r="H91" s="34">
        <f>SUM(H92:H93)</f>
        <v>1220780</v>
      </c>
      <c r="I91" s="34">
        <f>SUM(I92:I93)</f>
        <v>1193080</v>
      </c>
      <c r="J91" s="25"/>
      <c r="K91" s="35" t="s">
        <v>146</v>
      </c>
      <c r="L91" s="17" t="s">
        <v>136</v>
      </c>
      <c r="M91" s="17" t="s">
        <v>147</v>
      </c>
    </row>
    <row r="92" spans="1:13" ht="99" customHeight="1" outlineLevel="1" x14ac:dyDescent="0.2">
      <c r="A92" s="28" t="s">
        <v>148</v>
      </c>
      <c r="B92" s="29" t="s">
        <v>149</v>
      </c>
      <c r="C92" s="30"/>
      <c r="D92" s="30">
        <v>5383800</v>
      </c>
      <c r="E92" s="30">
        <v>1099080</v>
      </c>
      <c r="F92" s="30">
        <f t="shared" si="15"/>
        <v>1099080</v>
      </c>
      <c r="G92" s="30">
        <f t="shared" si="16"/>
        <v>-4284720</v>
      </c>
      <c r="H92" s="30">
        <v>1117780</v>
      </c>
      <c r="I92" s="30">
        <v>1090080</v>
      </c>
      <c r="J92" s="32"/>
      <c r="K92" s="33">
        <v>203</v>
      </c>
      <c r="L92" s="5">
        <v>344.28</v>
      </c>
      <c r="M92" s="5">
        <v>400</v>
      </c>
    </row>
    <row r="93" spans="1:13" ht="99" customHeight="1" outlineLevel="1" x14ac:dyDescent="0.2">
      <c r="A93" s="28" t="s">
        <v>150</v>
      </c>
      <c r="B93" s="29" t="s">
        <v>239</v>
      </c>
      <c r="C93" s="30"/>
      <c r="D93" s="31">
        <v>40000</v>
      </c>
      <c r="E93" s="30">
        <f>103000</f>
        <v>103000</v>
      </c>
      <c r="F93" s="30">
        <f t="shared" si="15"/>
        <v>103000</v>
      </c>
      <c r="G93" s="30">
        <f t="shared" si="16"/>
        <v>63000</v>
      </c>
      <c r="H93" s="30">
        <v>103000</v>
      </c>
      <c r="I93" s="30">
        <v>103000</v>
      </c>
      <c r="J93" s="32"/>
      <c r="K93" s="33">
        <v>103</v>
      </c>
    </row>
    <row r="94" spans="1:13" s="17" customFormat="1" ht="16.5" customHeight="1" x14ac:dyDescent="0.2">
      <c r="A94" s="23" t="s">
        <v>151</v>
      </c>
      <c r="B94" s="22" t="s">
        <v>152</v>
      </c>
      <c r="C94" s="34">
        <f>SUM(C95:C96)</f>
        <v>1555907.8499999999</v>
      </c>
      <c r="D94" s="34">
        <f t="shared" ref="D94:E94" si="17">SUM(D95:D96)</f>
        <v>1715000</v>
      </c>
      <c r="E94" s="34">
        <f t="shared" si="17"/>
        <v>1760110</v>
      </c>
      <c r="F94" s="34">
        <f t="shared" si="15"/>
        <v>204202.15000000014</v>
      </c>
      <c r="G94" s="34">
        <f t="shared" si="16"/>
        <v>45110</v>
      </c>
      <c r="H94" s="34">
        <f t="shared" ref="H94:I94" si="18">SUM(H95:H96)</f>
        <v>1711530</v>
      </c>
      <c r="I94" s="34">
        <f t="shared" si="18"/>
        <v>1745740</v>
      </c>
      <c r="J94" s="25"/>
      <c r="K94" s="35"/>
    </row>
    <row r="95" spans="1:13" ht="32.25" customHeight="1" outlineLevel="1" x14ac:dyDescent="0.2">
      <c r="A95" s="28" t="s">
        <v>205</v>
      </c>
      <c r="B95" s="29" t="s">
        <v>206</v>
      </c>
      <c r="C95" s="30">
        <v>33162.69</v>
      </c>
      <c r="D95" s="30">
        <v>0</v>
      </c>
      <c r="E95" s="30">
        <v>0</v>
      </c>
      <c r="F95" s="30">
        <f t="shared" si="15"/>
        <v>-33162.69</v>
      </c>
      <c r="G95" s="30">
        <f t="shared" si="16"/>
        <v>0</v>
      </c>
      <c r="H95" s="30">
        <v>0</v>
      </c>
      <c r="I95" s="30">
        <v>0</v>
      </c>
      <c r="J95" s="32"/>
      <c r="K95" s="33"/>
    </row>
    <row r="96" spans="1:13" ht="32.25" customHeight="1" outlineLevel="1" x14ac:dyDescent="0.2">
      <c r="A96" s="28" t="s">
        <v>153</v>
      </c>
      <c r="B96" s="29" t="s">
        <v>154</v>
      </c>
      <c r="C96" s="30">
        <v>1522745.16</v>
      </c>
      <c r="D96" s="30">
        <f>3354290-1384700-254590</f>
        <v>1715000</v>
      </c>
      <c r="E96" s="30">
        <v>1760110</v>
      </c>
      <c r="F96" s="30">
        <f t="shared" si="15"/>
        <v>237364.84000000008</v>
      </c>
      <c r="G96" s="30">
        <f t="shared" si="16"/>
        <v>45110</v>
      </c>
      <c r="H96" s="30">
        <v>1711530</v>
      </c>
      <c r="I96" s="30">
        <v>1745740</v>
      </c>
      <c r="J96" s="32"/>
      <c r="K96" s="33"/>
    </row>
    <row r="97" spans="1:11" s="46" customFormat="1" ht="14.25" customHeight="1" x14ac:dyDescent="0.2">
      <c r="A97" s="18" t="s">
        <v>155</v>
      </c>
      <c r="B97" s="22" t="s">
        <v>156</v>
      </c>
      <c r="C97" s="19">
        <f>C98+C121+C123</f>
        <v>647726130.96000004</v>
      </c>
      <c r="D97" s="19">
        <f>D98+D121+D123</f>
        <v>1128930841.47</v>
      </c>
      <c r="E97" s="19">
        <f>E98+E121+E123</f>
        <v>573053799.75999999</v>
      </c>
      <c r="F97" s="19">
        <f t="shared" si="15"/>
        <v>-74672331.200000048</v>
      </c>
      <c r="G97" s="19">
        <f t="shared" si="16"/>
        <v>-555877041.71000004</v>
      </c>
      <c r="H97" s="19">
        <f>H98+H121+H123</f>
        <v>574383955.35000002</v>
      </c>
      <c r="I97" s="19">
        <f>I98+I121+I123</f>
        <v>0</v>
      </c>
      <c r="J97" s="20"/>
      <c r="K97" s="45"/>
    </row>
    <row r="98" spans="1:11" ht="47.25" x14ac:dyDescent="0.2">
      <c r="A98" s="23" t="s">
        <v>157</v>
      </c>
      <c r="B98" s="24" t="s">
        <v>158</v>
      </c>
      <c r="C98" s="34">
        <f>C99+C102+C110+C118</f>
        <v>643189152.21000004</v>
      </c>
      <c r="D98" s="34">
        <f>D99+D102+D110+D118</f>
        <v>1128930841.47</v>
      </c>
      <c r="E98" s="34">
        <f>E99+E102+E110+E123</f>
        <v>573053799.75999999</v>
      </c>
      <c r="F98" s="34">
        <f t="shared" si="15"/>
        <v>-70135352.450000048</v>
      </c>
      <c r="G98" s="34">
        <f t="shared" si="16"/>
        <v>-555877041.71000004</v>
      </c>
      <c r="H98" s="34">
        <f t="shared" ref="H98:I98" si="19">H99+H102+H110+H118</f>
        <v>574383955.35000002</v>
      </c>
      <c r="I98" s="34">
        <f t="shared" si="19"/>
        <v>0</v>
      </c>
      <c r="J98" s="25"/>
      <c r="K98" s="33"/>
    </row>
    <row r="99" spans="1:11" ht="31.5" x14ac:dyDescent="0.2">
      <c r="A99" s="23" t="s">
        <v>159</v>
      </c>
      <c r="B99" s="24" t="s">
        <v>160</v>
      </c>
      <c r="C99" s="34">
        <f>SUM(C100:C101)</f>
        <v>7225974.6399999997</v>
      </c>
      <c r="D99" s="34">
        <f t="shared" ref="D99:E99" si="20">SUM(D100:D101)</f>
        <v>55163562.850000001</v>
      </c>
      <c r="E99" s="34">
        <f t="shared" si="20"/>
        <v>0</v>
      </c>
      <c r="F99" s="34">
        <f t="shared" si="15"/>
        <v>-7225974.6399999997</v>
      </c>
      <c r="G99" s="34">
        <f t="shared" si="16"/>
        <v>-55163562.850000001</v>
      </c>
      <c r="H99" s="34">
        <f t="shared" ref="H99:I99" si="21">SUM(H100:H101)</f>
        <v>0</v>
      </c>
      <c r="I99" s="34">
        <f t="shared" si="21"/>
        <v>0</v>
      </c>
      <c r="J99" s="25"/>
      <c r="K99" s="33"/>
    </row>
    <row r="100" spans="1:11" ht="50.25" customHeight="1" outlineLevel="1" x14ac:dyDescent="0.2">
      <c r="A100" s="28" t="s">
        <v>219</v>
      </c>
      <c r="B100" s="29" t="s">
        <v>220</v>
      </c>
      <c r="C100" s="30">
        <v>4730974.6399999997</v>
      </c>
      <c r="D100" s="30">
        <v>0</v>
      </c>
      <c r="E100" s="30">
        <f>'[1]прил 6 объём МБТ'!C16</f>
        <v>0</v>
      </c>
      <c r="F100" s="30">
        <f t="shared" si="15"/>
        <v>-4730974.6399999997</v>
      </c>
      <c r="G100" s="30">
        <f t="shared" si="16"/>
        <v>0</v>
      </c>
      <c r="H100" s="30">
        <f>'[1]прил 6 объём МБТ'!D16</f>
        <v>0</v>
      </c>
      <c r="I100" s="30">
        <f>'[1]прил 6 объём МБТ'!E16</f>
        <v>0</v>
      </c>
      <c r="J100" s="32"/>
      <c r="K100" s="33"/>
    </row>
    <row r="101" spans="1:11" ht="50.25" customHeight="1" outlineLevel="1" x14ac:dyDescent="0.2">
      <c r="A101" s="28" t="s">
        <v>161</v>
      </c>
      <c r="B101" s="29" t="s">
        <v>162</v>
      </c>
      <c r="C101" s="30">
        <v>2495000</v>
      </c>
      <c r="D101" s="31">
        <f>57283441.38-5302648.53+3182770</f>
        <v>55163562.850000001</v>
      </c>
      <c r="E101" s="30">
        <v>0</v>
      </c>
      <c r="F101" s="30">
        <f t="shared" si="15"/>
        <v>-2495000</v>
      </c>
      <c r="G101" s="30">
        <f t="shared" si="16"/>
        <v>-55163562.850000001</v>
      </c>
      <c r="H101" s="30">
        <f>'[1]прил 6 объём МБТ'!D17</f>
        <v>0</v>
      </c>
      <c r="I101" s="30">
        <f>'[1]прил 6 объём МБТ'!E17</f>
        <v>0</v>
      </c>
      <c r="J101" s="32"/>
      <c r="K101" s="33"/>
    </row>
    <row r="102" spans="1:11" ht="47.25" x14ac:dyDescent="0.2">
      <c r="A102" s="23" t="s">
        <v>163</v>
      </c>
      <c r="B102" s="24" t="s">
        <v>164</v>
      </c>
      <c r="C102" s="34">
        <f>SUM(C103:C109)</f>
        <v>105152122.13</v>
      </c>
      <c r="D102" s="34">
        <f>SUM(D103:D109)</f>
        <v>473210654.81</v>
      </c>
      <c r="E102" s="34">
        <f>SUM(E103:E109)</f>
        <v>4150865.5</v>
      </c>
      <c r="F102" s="34">
        <f t="shared" si="15"/>
        <v>-101001256.63</v>
      </c>
      <c r="G102" s="34">
        <f t="shared" si="16"/>
        <v>-469059789.31</v>
      </c>
      <c r="H102" s="34">
        <f>SUM(H103:H109)</f>
        <v>4178608.09</v>
      </c>
      <c r="I102" s="34">
        <f>SUM(I103:I109)</f>
        <v>0</v>
      </c>
      <c r="J102" s="25"/>
      <c r="K102" s="33"/>
    </row>
    <row r="103" spans="1:11" ht="112.5" customHeight="1" outlineLevel="1" x14ac:dyDescent="0.2">
      <c r="A103" s="28" t="s">
        <v>165</v>
      </c>
      <c r="B103" s="29" t="s">
        <v>166</v>
      </c>
      <c r="C103" s="30">
        <v>0</v>
      </c>
      <c r="D103" s="30">
        <v>0</v>
      </c>
      <c r="E103" s="30">
        <f>'[1]прил 6 объём МБТ'!C21</f>
        <v>0</v>
      </c>
      <c r="F103" s="30">
        <f t="shared" si="15"/>
        <v>0</v>
      </c>
      <c r="G103" s="30">
        <f t="shared" si="16"/>
        <v>0</v>
      </c>
      <c r="H103" s="30">
        <f>'[1]прил 6 объём МБТ'!D21</f>
        <v>0</v>
      </c>
      <c r="I103" s="30">
        <f>'[1]прил 6 объём МБТ'!E21</f>
        <v>0</v>
      </c>
      <c r="J103" s="32"/>
      <c r="K103" s="33"/>
    </row>
    <row r="104" spans="1:11" ht="80.25" customHeight="1" outlineLevel="1" x14ac:dyDescent="0.2">
      <c r="A104" s="28" t="s">
        <v>167</v>
      </c>
      <c r="B104" s="29" t="s">
        <v>168</v>
      </c>
      <c r="C104" s="30">
        <v>3189970.23</v>
      </c>
      <c r="D104" s="30">
        <v>2142220</v>
      </c>
      <c r="E104" s="30">
        <v>0</v>
      </c>
      <c r="F104" s="30">
        <f t="shared" si="15"/>
        <v>-3189970.23</v>
      </c>
      <c r="G104" s="30">
        <f t="shared" si="16"/>
        <v>-2142220</v>
      </c>
      <c r="H104" s="30">
        <f>'[1]прил 6 объём МБТ'!D22</f>
        <v>0</v>
      </c>
      <c r="I104" s="30">
        <f>'[1]прил 6 объём МБТ'!E22</f>
        <v>0</v>
      </c>
      <c r="J104" s="32"/>
      <c r="K104" s="33"/>
    </row>
    <row r="105" spans="1:11" ht="83.25" customHeight="1" outlineLevel="1" x14ac:dyDescent="0.2">
      <c r="A105" s="28" t="s">
        <v>173</v>
      </c>
      <c r="B105" s="29" t="s">
        <v>174</v>
      </c>
      <c r="C105" s="30">
        <v>0</v>
      </c>
      <c r="D105" s="30">
        <v>7093619</v>
      </c>
      <c r="E105" s="30">
        <v>0</v>
      </c>
      <c r="F105" s="30">
        <f t="shared" si="15"/>
        <v>0</v>
      </c>
      <c r="G105" s="30">
        <f t="shared" si="16"/>
        <v>-7093619</v>
      </c>
      <c r="H105" s="30">
        <f>'[1]прил 6 объём МБТ'!D22</f>
        <v>0</v>
      </c>
      <c r="I105" s="30">
        <f>'[1]прил 6 объём МБТ'!E22</f>
        <v>0</v>
      </c>
      <c r="J105" s="32"/>
      <c r="K105" s="33"/>
    </row>
    <row r="106" spans="1:11" ht="48.75" customHeight="1" outlineLevel="1" x14ac:dyDescent="0.2">
      <c r="A106" s="28" t="s">
        <v>169</v>
      </c>
      <c r="B106" s="29" t="s">
        <v>170</v>
      </c>
      <c r="C106" s="30">
        <v>4249500</v>
      </c>
      <c r="D106" s="30">
        <v>3166460</v>
      </c>
      <c r="E106" s="30">
        <v>4150865.5</v>
      </c>
      <c r="F106" s="30">
        <f t="shared" si="15"/>
        <v>-98634.5</v>
      </c>
      <c r="G106" s="30">
        <f t="shared" si="16"/>
        <v>984405.5</v>
      </c>
      <c r="H106" s="30">
        <v>4178608.09</v>
      </c>
      <c r="I106" s="30">
        <v>0</v>
      </c>
      <c r="J106" s="32"/>
      <c r="K106" s="33"/>
    </row>
    <row r="107" spans="1:11" ht="34.5" customHeight="1" outlineLevel="1" x14ac:dyDescent="0.2">
      <c r="A107" s="28" t="s">
        <v>207</v>
      </c>
      <c r="B107" s="29" t="s">
        <v>208</v>
      </c>
      <c r="C107" s="30">
        <v>6721800.4100000001</v>
      </c>
      <c r="D107" s="30">
        <v>0</v>
      </c>
      <c r="E107" s="30">
        <v>0</v>
      </c>
      <c r="F107" s="30">
        <f t="shared" si="15"/>
        <v>-6721800.4100000001</v>
      </c>
      <c r="G107" s="30">
        <f t="shared" si="16"/>
        <v>0</v>
      </c>
      <c r="H107" s="30">
        <v>0</v>
      </c>
      <c r="I107" s="30">
        <v>0</v>
      </c>
      <c r="J107" s="32"/>
      <c r="K107" s="33"/>
    </row>
    <row r="108" spans="1:11" ht="47.25" customHeight="1" outlineLevel="1" x14ac:dyDescent="0.2">
      <c r="A108" s="28" t="s">
        <v>171</v>
      </c>
      <c r="B108" s="29" t="s">
        <v>172</v>
      </c>
      <c r="C108" s="30">
        <v>15700091.859999999</v>
      </c>
      <c r="D108" s="30">
        <v>25982401.829999998</v>
      </c>
      <c r="E108" s="30">
        <v>0</v>
      </c>
      <c r="F108" s="30">
        <f t="shared" si="15"/>
        <v>-15700091.859999999</v>
      </c>
      <c r="G108" s="30">
        <f t="shared" si="16"/>
        <v>-25982401.829999998</v>
      </c>
      <c r="H108" s="30">
        <f>'[1]прил 6 объём МБТ'!D24</f>
        <v>0</v>
      </c>
      <c r="I108" s="30">
        <f>'[1]прил 6 объём МБТ'!E24</f>
        <v>0</v>
      </c>
      <c r="J108" s="32"/>
      <c r="K108" s="33"/>
    </row>
    <row r="109" spans="1:11" ht="18" customHeight="1" outlineLevel="1" x14ac:dyDescent="0.2">
      <c r="A109" s="28" t="s">
        <v>175</v>
      </c>
      <c r="B109" s="29" t="s">
        <v>176</v>
      </c>
      <c r="C109" s="30">
        <v>75290759.629999995</v>
      </c>
      <c r="D109" s="30">
        <f>448459467.77-6400000+970000-5636933.46-566580.33-2000000</f>
        <v>434825953.98000002</v>
      </c>
      <c r="E109" s="30">
        <v>0</v>
      </c>
      <c r="F109" s="30">
        <f t="shared" si="15"/>
        <v>-75290759.629999995</v>
      </c>
      <c r="G109" s="30">
        <f t="shared" si="16"/>
        <v>-434825953.98000002</v>
      </c>
      <c r="H109" s="30">
        <f>'[1]прил 6 объём МБТ'!D28</f>
        <v>0</v>
      </c>
      <c r="I109" s="30">
        <f>'[1]прил 6 объём МБТ'!E28</f>
        <v>0</v>
      </c>
      <c r="J109" s="32"/>
      <c r="K109" s="33"/>
    </row>
    <row r="110" spans="1:11" ht="33" customHeight="1" x14ac:dyDescent="0.2">
      <c r="A110" s="23" t="s">
        <v>177</v>
      </c>
      <c r="B110" s="24" t="s">
        <v>178</v>
      </c>
      <c r="C110" s="34">
        <f>SUM(C111:C117)</f>
        <v>530811055.44</v>
      </c>
      <c r="D110" s="34">
        <f>SUM(D111:D117)</f>
        <v>586026647.81000006</v>
      </c>
      <c r="E110" s="34">
        <f>SUM(E111:E117)</f>
        <v>568902934.25999999</v>
      </c>
      <c r="F110" s="34">
        <f t="shared" si="15"/>
        <v>38091878.819999993</v>
      </c>
      <c r="G110" s="34">
        <f t="shared" si="16"/>
        <v>-17123713.550000072</v>
      </c>
      <c r="H110" s="34">
        <f>SUM(H111:H117)</f>
        <v>570205347.25999999</v>
      </c>
      <c r="I110" s="34">
        <f>SUM(I111:I117)</f>
        <v>0</v>
      </c>
      <c r="J110" s="25"/>
      <c r="K110" s="33"/>
    </row>
    <row r="111" spans="1:11" ht="47.25" customHeight="1" outlineLevel="1" x14ac:dyDescent="0.2">
      <c r="A111" s="28" t="s">
        <v>179</v>
      </c>
      <c r="B111" s="29" t="s">
        <v>180</v>
      </c>
      <c r="C111" s="30">
        <v>494615086.93000001</v>
      </c>
      <c r="D111" s="30">
        <f>556183074.26+14274894+12268356-7118363.8-1539616.38-3078614.05-7219093</f>
        <v>563770637.03000009</v>
      </c>
      <c r="E111" s="30">
        <v>556099783.25999999</v>
      </c>
      <c r="F111" s="30">
        <f t="shared" si="15"/>
        <v>61484696.329999983</v>
      </c>
      <c r="G111" s="30">
        <f t="shared" si="16"/>
        <v>-7670853.7700001001</v>
      </c>
      <c r="H111" s="30">
        <v>556958784.25999999</v>
      </c>
      <c r="I111" s="30">
        <v>0</v>
      </c>
      <c r="J111" s="32"/>
      <c r="K111" s="33"/>
    </row>
    <row r="112" spans="1:11" ht="96.75" customHeight="1" outlineLevel="1" x14ac:dyDescent="0.2">
      <c r="A112" s="28" t="s">
        <v>181</v>
      </c>
      <c r="B112" s="29" t="s">
        <v>182</v>
      </c>
      <c r="C112" s="30">
        <v>8369891.5099999998</v>
      </c>
      <c r="D112" s="30">
        <f>9383769-2031992.22</f>
        <v>7351776.7800000003</v>
      </c>
      <c r="E112" s="30">
        <v>9383769</v>
      </c>
      <c r="F112" s="30">
        <f t="shared" si="15"/>
        <v>1013877.4900000002</v>
      </c>
      <c r="G112" s="30">
        <f t="shared" si="16"/>
        <v>2031992.2199999997</v>
      </c>
      <c r="H112" s="30">
        <v>9383769</v>
      </c>
      <c r="I112" s="30">
        <v>0</v>
      </c>
      <c r="J112" s="32"/>
      <c r="K112" s="33"/>
    </row>
    <row r="113" spans="1:12" ht="79.5" customHeight="1" outlineLevel="1" x14ac:dyDescent="0.2">
      <c r="A113" s="28" t="s">
        <v>221</v>
      </c>
      <c r="B113" s="29" t="s">
        <v>222</v>
      </c>
      <c r="C113" s="30">
        <v>23589300</v>
      </c>
      <c r="D113" s="30">
        <v>0</v>
      </c>
      <c r="E113" s="30">
        <v>0</v>
      </c>
      <c r="F113" s="30">
        <f t="shared" si="15"/>
        <v>-23589300</v>
      </c>
      <c r="G113" s="30">
        <f t="shared" si="16"/>
        <v>0</v>
      </c>
      <c r="H113" s="30">
        <v>0</v>
      </c>
      <c r="I113" s="30">
        <v>0</v>
      </c>
      <c r="J113" s="32"/>
      <c r="K113" s="33"/>
    </row>
    <row r="114" spans="1:12" ht="79.5" customHeight="1" outlineLevel="1" x14ac:dyDescent="0.2">
      <c r="A114" s="28" t="s">
        <v>183</v>
      </c>
      <c r="B114" s="29" t="s">
        <v>184</v>
      </c>
      <c r="C114" s="30">
        <v>40987</v>
      </c>
      <c r="D114" s="30">
        <v>41821</v>
      </c>
      <c r="E114" s="30">
        <v>44813</v>
      </c>
      <c r="F114" s="30">
        <f t="shared" si="15"/>
        <v>3826</v>
      </c>
      <c r="G114" s="30">
        <f t="shared" si="16"/>
        <v>2992</v>
      </c>
      <c r="H114" s="30">
        <v>472442</v>
      </c>
      <c r="I114" s="30">
        <v>0</v>
      </c>
      <c r="J114" s="32"/>
      <c r="K114" s="33"/>
    </row>
    <row r="115" spans="1:12" ht="66" customHeight="1" outlineLevel="1" x14ac:dyDescent="0.2">
      <c r="A115" s="28" t="s">
        <v>185</v>
      </c>
      <c r="B115" s="29" t="s">
        <v>186</v>
      </c>
      <c r="C115" s="30">
        <v>0</v>
      </c>
      <c r="D115" s="30">
        <v>379393</v>
      </c>
      <c r="E115" s="30">
        <v>394569</v>
      </c>
      <c r="F115" s="30">
        <f t="shared" si="15"/>
        <v>394569</v>
      </c>
      <c r="G115" s="30">
        <f t="shared" si="16"/>
        <v>15176</v>
      </c>
      <c r="H115" s="30">
        <v>410352</v>
      </c>
      <c r="I115" s="30">
        <v>0</v>
      </c>
      <c r="J115" s="32"/>
      <c r="K115" s="33"/>
    </row>
    <row r="116" spans="1:12" ht="80.25" customHeight="1" outlineLevel="1" x14ac:dyDescent="0.2">
      <c r="A116" s="28" t="s">
        <v>229</v>
      </c>
      <c r="B116" s="29" t="s">
        <v>230</v>
      </c>
      <c r="C116" s="30">
        <v>0</v>
      </c>
      <c r="D116" s="30">
        <v>10500000</v>
      </c>
      <c r="E116" s="30">
        <v>0</v>
      </c>
      <c r="F116" s="30">
        <f t="shared" ref="F116" si="22">E116-C116</f>
        <v>0</v>
      </c>
      <c r="G116" s="30">
        <f t="shared" ref="G116" si="23">E116-D116</f>
        <v>-10500000</v>
      </c>
      <c r="H116" s="30">
        <v>0</v>
      </c>
      <c r="I116" s="30">
        <v>0</v>
      </c>
      <c r="J116" s="32"/>
      <c r="K116" s="33"/>
    </row>
    <row r="117" spans="1:12" ht="48" customHeight="1" outlineLevel="1" x14ac:dyDescent="0.2">
      <c r="A117" s="28" t="s">
        <v>187</v>
      </c>
      <c r="B117" s="29" t="s">
        <v>188</v>
      </c>
      <c r="C117" s="30">
        <v>4195790</v>
      </c>
      <c r="D117" s="30">
        <v>3983020</v>
      </c>
      <c r="E117" s="30">
        <v>2980000</v>
      </c>
      <c r="F117" s="30">
        <f t="shared" si="15"/>
        <v>-1215790</v>
      </c>
      <c r="G117" s="30">
        <f t="shared" si="16"/>
        <v>-1003020</v>
      </c>
      <c r="H117" s="30">
        <v>2980000</v>
      </c>
      <c r="I117" s="30">
        <v>0</v>
      </c>
      <c r="J117" s="32"/>
      <c r="K117" s="33"/>
    </row>
    <row r="118" spans="1:12" s="17" customFormat="1" ht="15.75" x14ac:dyDescent="0.2">
      <c r="A118" s="23" t="s">
        <v>189</v>
      </c>
      <c r="B118" s="47" t="s">
        <v>190</v>
      </c>
      <c r="C118" s="34">
        <f>SUM(C119:C120)</f>
        <v>0</v>
      </c>
      <c r="D118" s="34">
        <f t="shared" ref="D118:E118" si="24">SUM(D119:D120)</f>
        <v>14529976</v>
      </c>
      <c r="E118" s="34">
        <f t="shared" si="24"/>
        <v>0</v>
      </c>
      <c r="F118" s="34">
        <f t="shared" si="15"/>
        <v>0</v>
      </c>
      <c r="G118" s="34">
        <f t="shared" si="16"/>
        <v>-14529976</v>
      </c>
      <c r="H118" s="34">
        <f t="shared" ref="H118:I118" si="25">SUM(H119:H120)</f>
        <v>0</v>
      </c>
      <c r="I118" s="34">
        <f t="shared" si="25"/>
        <v>0</v>
      </c>
      <c r="J118" s="25"/>
      <c r="K118" s="35"/>
    </row>
    <row r="119" spans="1:12" ht="78" customHeight="1" outlineLevel="1" x14ac:dyDescent="0.2">
      <c r="A119" s="28" t="s">
        <v>225</v>
      </c>
      <c r="B119" s="29" t="s">
        <v>226</v>
      </c>
      <c r="C119" s="30">
        <v>0</v>
      </c>
      <c r="D119" s="30">
        <v>9843120</v>
      </c>
      <c r="E119" s="30">
        <v>0</v>
      </c>
      <c r="F119" s="30">
        <f t="shared" ref="F119" si="26">E119-C119</f>
        <v>0</v>
      </c>
      <c r="G119" s="30">
        <f t="shared" ref="G119" si="27">E119-D119</f>
        <v>-9843120</v>
      </c>
      <c r="H119" s="30">
        <f>'[1]прил 6 объём МБТ'!D71</f>
        <v>0</v>
      </c>
      <c r="I119" s="30">
        <f>'[1]прил 6 объём МБТ'!E71</f>
        <v>0</v>
      </c>
      <c r="J119" s="32"/>
      <c r="K119" s="33"/>
    </row>
    <row r="120" spans="1:12" ht="33" customHeight="1" outlineLevel="1" x14ac:dyDescent="0.2">
      <c r="A120" s="28" t="s">
        <v>191</v>
      </c>
      <c r="B120" s="29" t="s">
        <v>192</v>
      </c>
      <c r="C120" s="30">
        <v>0</v>
      </c>
      <c r="D120" s="30">
        <f>4847252-160396</f>
        <v>4686856</v>
      </c>
      <c r="E120" s="30">
        <f>'[1]прил 6 объём МБТ'!C72</f>
        <v>0</v>
      </c>
      <c r="F120" s="30">
        <f t="shared" si="15"/>
        <v>0</v>
      </c>
      <c r="G120" s="30">
        <f t="shared" si="16"/>
        <v>-4686856</v>
      </c>
      <c r="H120" s="30">
        <f>'[1]прил 6 объём МБТ'!D72</f>
        <v>0</v>
      </c>
      <c r="I120" s="30">
        <f>'[1]прил 6 объём МБТ'!E72</f>
        <v>0</v>
      </c>
      <c r="J120" s="32"/>
      <c r="K120" s="33"/>
    </row>
    <row r="121" spans="1:12" s="17" customFormat="1" ht="94.5" x14ac:dyDescent="0.2">
      <c r="A121" s="23" t="s">
        <v>209</v>
      </c>
      <c r="B121" s="47" t="s">
        <v>210</v>
      </c>
      <c r="C121" s="34">
        <f>C122</f>
        <v>717.94</v>
      </c>
      <c r="D121" s="34">
        <f>D122</f>
        <v>0</v>
      </c>
      <c r="E121" s="34">
        <f>E122</f>
        <v>0</v>
      </c>
      <c r="F121" s="34">
        <f t="shared" si="15"/>
        <v>-717.94</v>
      </c>
      <c r="G121" s="34">
        <f t="shared" si="16"/>
        <v>0</v>
      </c>
      <c r="H121" s="34">
        <f>H122</f>
        <v>0</v>
      </c>
      <c r="I121" s="34">
        <f>I122</f>
        <v>0</v>
      </c>
      <c r="J121" s="25"/>
      <c r="K121" s="35"/>
    </row>
    <row r="122" spans="1:12" ht="50.25" customHeight="1" outlineLevel="1" x14ac:dyDescent="0.2">
      <c r="A122" s="28" t="s">
        <v>211</v>
      </c>
      <c r="B122" s="29" t="s">
        <v>212</v>
      </c>
      <c r="C122" s="30">
        <v>717.94</v>
      </c>
      <c r="D122" s="30">
        <v>0</v>
      </c>
      <c r="E122" s="30">
        <f>'[1]прил 6 объём МБТ'!C72</f>
        <v>0</v>
      </c>
      <c r="F122" s="30">
        <f t="shared" si="15"/>
        <v>-717.94</v>
      </c>
      <c r="G122" s="30">
        <f t="shared" si="16"/>
        <v>0</v>
      </c>
      <c r="H122" s="30">
        <f>'[1]прил 6 объём МБТ'!D72</f>
        <v>0</v>
      </c>
      <c r="I122" s="30">
        <f>'[1]прил 6 объём МБТ'!E72</f>
        <v>0</v>
      </c>
      <c r="J122" s="32"/>
      <c r="K122" s="33"/>
    </row>
    <row r="123" spans="1:12" s="17" customFormat="1" ht="63" x14ac:dyDescent="0.2">
      <c r="A123" s="23" t="s">
        <v>213</v>
      </c>
      <c r="B123" s="47" t="s">
        <v>214</v>
      </c>
      <c r="C123" s="34">
        <f>SUM(C124:C125)</f>
        <v>4536260.8099999996</v>
      </c>
      <c r="D123" s="34">
        <f t="shared" ref="D123:E123" si="28">SUM(D124:D125)</f>
        <v>0</v>
      </c>
      <c r="E123" s="34">
        <f t="shared" si="28"/>
        <v>0</v>
      </c>
      <c r="F123" s="34">
        <f t="shared" si="15"/>
        <v>-4536260.8099999996</v>
      </c>
      <c r="G123" s="34">
        <f t="shared" si="16"/>
        <v>0</v>
      </c>
      <c r="H123" s="34">
        <f t="shared" ref="H123:I123" si="29">SUM(H124:H125)</f>
        <v>0</v>
      </c>
      <c r="I123" s="34">
        <f t="shared" si="29"/>
        <v>0</v>
      </c>
      <c r="J123" s="25"/>
      <c r="K123" s="35"/>
    </row>
    <row r="124" spans="1:12" ht="80.25" customHeight="1" outlineLevel="1" x14ac:dyDescent="0.2">
      <c r="A124" s="28" t="s">
        <v>215</v>
      </c>
      <c r="B124" s="29" t="s">
        <v>216</v>
      </c>
      <c r="C124" s="30">
        <v>-126669.19</v>
      </c>
      <c r="D124" s="30">
        <v>0</v>
      </c>
      <c r="E124" s="30">
        <f>'[1]прил 6 объём МБТ'!C73</f>
        <v>0</v>
      </c>
      <c r="F124" s="30">
        <f t="shared" si="15"/>
        <v>126669.19</v>
      </c>
      <c r="G124" s="30">
        <f t="shared" si="16"/>
        <v>0</v>
      </c>
      <c r="H124" s="30">
        <f>'[1]прил 6 объём МБТ'!D73</f>
        <v>0</v>
      </c>
      <c r="I124" s="30">
        <f>'[1]прил 6 объём МБТ'!E73</f>
        <v>0</v>
      </c>
      <c r="J124" s="32"/>
      <c r="K124" s="33"/>
    </row>
    <row r="125" spans="1:12" ht="66.75" customHeight="1" outlineLevel="1" x14ac:dyDescent="0.2">
      <c r="A125" s="28" t="s">
        <v>217</v>
      </c>
      <c r="B125" s="29" t="s">
        <v>218</v>
      </c>
      <c r="C125" s="30">
        <v>4662930</v>
      </c>
      <c r="D125" s="30">
        <v>0</v>
      </c>
      <c r="E125" s="30">
        <v>0</v>
      </c>
      <c r="F125" s="30">
        <f t="shared" si="15"/>
        <v>-4662930</v>
      </c>
      <c r="G125" s="30">
        <f t="shared" si="16"/>
        <v>0</v>
      </c>
      <c r="H125" s="30">
        <f>'[1]прил 6 объём МБТ'!D74</f>
        <v>0</v>
      </c>
      <c r="I125" s="30">
        <f>'[1]прил 6 объём МБТ'!E74</f>
        <v>0</v>
      </c>
      <c r="J125" s="32"/>
      <c r="K125" s="33"/>
    </row>
    <row r="126" spans="1:12" s="54" customFormat="1" ht="20.25" customHeight="1" x14ac:dyDescent="0.2">
      <c r="A126" s="48"/>
      <c r="B126" s="49" t="s">
        <v>193</v>
      </c>
      <c r="C126" s="50">
        <f>C12+C97</f>
        <v>1279244487.71</v>
      </c>
      <c r="D126" s="50">
        <f>D12+D97</f>
        <v>1779975411.6500001</v>
      </c>
      <c r="E126" s="50">
        <f>E12+E97</f>
        <v>1233014781.76</v>
      </c>
      <c r="F126" s="50">
        <f t="shared" si="15"/>
        <v>-46229705.950000048</v>
      </c>
      <c r="G126" s="50">
        <f t="shared" si="16"/>
        <v>-546960629.8900001</v>
      </c>
      <c r="H126" s="50">
        <f>H12+H97</f>
        <v>1207568441.3499999</v>
      </c>
      <c r="I126" s="50">
        <f>I12+I97</f>
        <v>671510223</v>
      </c>
      <c r="J126" s="51"/>
      <c r="K126" s="52"/>
      <c r="L126" s="53"/>
    </row>
    <row r="127" spans="1:12" x14ac:dyDescent="0.2">
      <c r="C127" s="56"/>
      <c r="D127" s="57"/>
      <c r="E127" s="56"/>
      <c r="F127" s="56"/>
      <c r="G127" s="57"/>
      <c r="H127" s="56"/>
      <c r="I127" s="57"/>
      <c r="J127" s="56"/>
      <c r="K127" s="33"/>
    </row>
    <row r="129" spans="2:10" x14ac:dyDescent="0.2">
      <c r="J129" s="3"/>
    </row>
    <row r="130" spans="2:10" x14ac:dyDescent="0.2">
      <c r="D130" s="3"/>
      <c r="G130" s="3"/>
      <c r="I130" s="3"/>
      <c r="J130" s="3"/>
    </row>
    <row r="132" spans="2:10" x14ac:dyDescent="0.2">
      <c r="J132" s="55"/>
    </row>
    <row r="134" spans="2:10" x14ac:dyDescent="0.2">
      <c r="B134" s="58"/>
      <c r="D134" s="3"/>
      <c r="G134" s="3"/>
      <c r="I134" s="3"/>
    </row>
  </sheetData>
  <mergeCells count="2">
    <mergeCell ref="A7:I8"/>
    <mergeCell ref="A9:I9"/>
  </mergeCells>
  <pageMargins left="0.47244094488188981" right="0.39370078740157483" top="0.51181102362204722" bottom="0.27559055118110237" header="0.15748031496062992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Пинская Галина Павловна</dc:creator>
  <cp:lastModifiedBy>Пинская Галина Павловна</cp:lastModifiedBy>
  <cp:lastPrinted>2020-10-20T01:13:14Z</cp:lastPrinted>
  <dcterms:created xsi:type="dcterms:W3CDTF">2020-10-19T04:36:44Z</dcterms:created>
  <dcterms:modified xsi:type="dcterms:W3CDTF">2020-12-02T02:30:15Z</dcterms:modified>
</cp:coreProperties>
</file>