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320" windowWidth="11328" windowHeight="9960" activeTab="0"/>
  </bookViews>
  <sheets>
    <sheet name="Прогноз" sheetId="1" r:id="rId1"/>
    <sheet name="Лист3" sheetId="2" r:id="rId2"/>
  </sheets>
  <externalReferences>
    <externalReference r:id="rId5"/>
    <externalReference r:id="rId6"/>
  </externalReferences>
  <definedNames>
    <definedName name="_xlnm.Print_Titles" localSheetId="0">'Прогноз'!$9:$11</definedName>
    <definedName name="_xlnm.Print_Area" localSheetId="0">'Прогноз'!$B$1:$L$116</definedName>
  </definedNames>
  <calcPr fullCalcOnLoad="1"/>
</workbook>
</file>

<file path=xl/comments1.xml><?xml version="1.0" encoding="utf-8"?>
<comments xmlns="http://schemas.openxmlformats.org/spreadsheetml/2006/main">
  <authors>
    <author>RePack by SPecialiST</author>
  </authors>
  <commentList>
    <comment ref="D47" authorId="0">
      <text>
        <r>
          <rPr>
            <b/>
            <sz val="9"/>
            <rFont val="Tahoma"/>
            <family val="0"/>
          </rPr>
          <t>уточнение статистики численности по крупным и средним</t>
        </r>
        <r>
          <rPr>
            <sz val="9"/>
            <rFont val="Tahoma"/>
            <family val="0"/>
          </rPr>
          <t xml:space="preserve">
</t>
        </r>
      </text>
    </comment>
    <comment ref="D57" authorId="0">
      <text>
        <r>
          <rPr>
            <b/>
            <sz val="9"/>
            <rFont val="Tahoma"/>
            <family val="2"/>
          </rPr>
          <t>уточнение статистики</t>
        </r>
        <r>
          <rPr>
            <sz val="9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9"/>
            <rFont val="Tahoma"/>
            <family val="2"/>
          </rPr>
          <t>уточнение статистики</t>
        </r>
        <r>
          <rPr>
            <sz val="9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2"/>
          </rPr>
          <t>уточнение статистики</t>
        </r>
        <r>
          <rPr>
            <sz val="9"/>
            <rFont val="Tahoma"/>
            <family val="2"/>
          </rPr>
          <t xml:space="preserve">
</t>
        </r>
      </text>
    </comment>
    <comment ref="D73" authorId="0">
      <text>
        <r>
          <rPr>
            <b/>
            <sz val="9"/>
            <rFont val="Tahoma"/>
            <family val="2"/>
          </rPr>
          <t>уточнение статистики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sz val="9"/>
            <rFont val="Tahoma"/>
            <family val="2"/>
          </rPr>
          <t xml:space="preserve">образование
</t>
        </r>
      </text>
    </comment>
  </commentList>
</comments>
</file>

<file path=xl/sharedStrings.xml><?xml version="1.0" encoding="utf-8"?>
<sst xmlns="http://schemas.openxmlformats.org/spreadsheetml/2006/main" count="215" uniqueCount="147">
  <si>
    <t>в том числе:</t>
  </si>
  <si>
    <t>% к предыдущему году в сопоставимых ценах</t>
  </si>
  <si>
    <t>%</t>
  </si>
  <si>
    <t>тыс. чел.</t>
  </si>
  <si>
    <t>млн. рублей</t>
  </si>
  <si>
    <t>руб.</t>
  </si>
  <si>
    <t xml:space="preserve"> 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</si>
  <si>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</si>
  <si>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</si>
  <si>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</si>
  <si>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</si>
  <si>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</si>
  <si>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</si>
  <si>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</si>
  <si>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</si>
  <si>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</si>
  <si>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</si>
  <si>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</si>
  <si>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</si>
  <si>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</si>
  <si>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</si>
  <si>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</si>
  <si>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</si>
  <si>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</si>
  <si>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</si>
  <si>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</si>
  <si>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</si>
  <si>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</si>
  <si>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</si>
  <si>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</si>
  <si>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</si>
  <si>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</si>
  <si>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</si>
  <si>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</si>
  <si>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</si>
  <si>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</si>
  <si>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</si>
  <si>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</si>
  <si>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</si>
  <si>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</si>
  <si>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</si>
  <si>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прогнозируемый период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</si>
  <si>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</si>
  <si>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</si>
  <si>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</si>
  <si>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</si>
  <si>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</si>
  <si>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</si>
  <si>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</si>
  <si>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</si>
  <si>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</si>
  <si>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</si>
  <si>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</si>
  <si>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</si>
  <si>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прибыло</t>
  </si>
  <si>
    <t>выбыло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</si>
  <si>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</si>
  <si>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</si>
  <si>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</si>
  <si>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</si>
  <si>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</si>
  <si>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</si>
  <si>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</si>
  <si>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</si>
  <si>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</si>
  <si>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</si>
  <si>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</si>
  <si>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</si>
  <si>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</si>
  <si>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</si>
  <si>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</si>
  <si>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</si>
  <si>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</si>
  <si>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</si>
  <si>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</si>
  <si>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</si>
  <si>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</si>
  <si>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</si>
  <si>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</si>
  <si>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</si>
  <si>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</si>
  <si>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</si>
  <si>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</si>
  <si>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</si>
  <si>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</si>
  <si>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</si>
  <si>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</si>
  <si>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</si>
  <si>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</si>
  <si>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</si>
  <si>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</si>
  <si>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</si>
  <si>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</si>
  <si>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</si>
  <si>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</si>
  <si>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</si>
  <si>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</si>
  <si>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</si>
  <si>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</si>
  <si>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</si>
  <si>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</si>
  <si>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</si>
  <si>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</si>
  <si>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</si>
  <si>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</si>
  <si>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</si>
  <si>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на конец года; тыс. чел.</t>
  </si>
  <si>
    <t xml:space="preserve">Прогноз социально-экономического развития Дальнегорского городского округа  </t>
  </si>
  <si>
    <t>млн. руб.</t>
  </si>
  <si>
    <t>5. Промышленность</t>
  </si>
  <si>
    <t>6. Муниципальная собственность</t>
  </si>
  <si>
    <t xml:space="preserve">7. Инвестиции </t>
  </si>
  <si>
    <t>8. Развитие социальной сферы</t>
  </si>
  <si>
    <t xml:space="preserve"> в ценах соответствующих лет, млн. рублей</t>
  </si>
  <si>
    <t>19б</t>
  </si>
  <si>
    <t>20б</t>
  </si>
  <si>
    <t>Приложение</t>
  </si>
  <si>
    <t>к постановлению администрации</t>
  </si>
  <si>
    <t xml:space="preserve">Дальнегорского гоородского округа </t>
  </si>
  <si>
    <t>от_______________    №_________</t>
  </si>
  <si>
    <t>Н.Ю. Пономарева</t>
  </si>
  <si>
    <t>Доходы от использования  имущества, находящегося в  государственной и муниципальной собственности</t>
  </si>
  <si>
    <t>Доходы от продажи материальных и нематериальных активов</t>
  </si>
  <si>
    <t xml:space="preserve"> =численность в организациях (крупные и средние, малые п/п)+ численность работающих в ИП (расчеты Марины) </t>
  </si>
  <si>
    <t>ЦЗН</t>
  </si>
  <si>
    <t>19к</t>
  </si>
  <si>
    <t>19ц</t>
  </si>
  <si>
    <t>20к</t>
  </si>
  <si>
    <t>20ц</t>
  </si>
  <si>
    <t>21к</t>
  </si>
  <si>
    <t>21б</t>
  </si>
  <si>
    <t>21ц</t>
  </si>
  <si>
    <t>22к</t>
  </si>
  <si>
    <t>22б</t>
  </si>
  <si>
    <t>22ц</t>
  </si>
  <si>
    <t>текущий год/предыдущий год/дефлятор из сценарных условий*100</t>
  </si>
  <si>
    <t>2017- отчет, 2018- данные от предприятий, далее - по сценарным условиям</t>
  </si>
  <si>
    <t>Заместитель начальника                                                                          отдела экономики и поддержки предпринимательства администрации Дальнегорского городского округа</t>
  </si>
  <si>
    <t>ЦЗН до 2018, далее сама</t>
  </si>
  <si>
    <t>фин упр</t>
  </si>
  <si>
    <t xml:space="preserve">на 2020 год и на период до 2022 года </t>
  </si>
  <si>
    <t>х</t>
  </si>
  <si>
    <t>рост по статистике по россии</t>
  </si>
  <si>
    <t>с 2019 года по реальной зп из сценарных условий</t>
  </si>
  <si>
    <t>по сценарным условиям с 2020 года  общая численность безработных на уровне 2019 по всем вариантам</t>
  </si>
  <si>
    <t>набора нет, студенты, которых набрали ранее со 2 курса переведены в основной ВУЗ</t>
  </si>
  <si>
    <t>ДВФУ выпуск специалистов до 2019 года, далее 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</si>
</sst>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0.0000"/>
    <numFmt numFmtId="176" formatCode="0.00000"/>
    <numFmt numFmtId="177" formatCode="#,##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4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i/>
      <sz val="14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Arial Cyr"/>
      <family val="0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4" fillId="0" borderId="14" xfId="0" applyFont="1" applyFill="1" applyBorder="1" applyAlignment="1" applyProtection="1">
      <alignment horizontal="left" vertical="center" wrapText="1" shrinkToFi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4" fillId="0" borderId="0" xfId="0" applyFont="1" applyFill="1" applyBorder="1" applyAlignment="1" applyProtection="1">
      <alignment horizontal="right" wrapText="1" shrinkToFit="1"/>
      <protection/>
    </xf>
    <xf numFmtId="0" fontId="3" fillId="0" borderId="15" xfId="0" applyFont="1" applyFill="1" applyBorder="1" applyAlignment="1" applyProtection="1">
      <alignment horizontal="left" vertical="center" wrapText="1" shrinkToFi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9" fillId="0" borderId="10" xfId="0" applyFont="1" applyFill="1" applyBorder="1" applyAlignment="1" applyProtection="1">
      <alignment horizontal="centerContinuous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/>
    </xf>
    <xf numFmtId="4" fontId="6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4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4" fontId="6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6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/>
    </xf>
    <xf numFmtId="172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 shrinkToFit="1"/>
    </xf>
    <xf numFmtId="4" fontId="6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0" borderId="0" xfId="0" applyFont="1" applyFill="1" applyBorder="1" applyAlignment="1">
      <alignment/>
    </xf>
    <xf numFmtId="3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 horizontal="center" vertical="center" wrapText="1" shrinkToFit="1"/>
    </xf>
    <xf numFmtId="4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/>
    </xf>
    <xf numFmtId="2" fontId="60" fillId="0" borderId="0" xfId="0" applyNumberFormat="1" applyFont="1" applyFill="1" applyBorder="1" applyAlignment="1" applyProtection="1">
      <alignment horizontal="center"/>
      <protection locked="0"/>
    </xf>
    <xf numFmtId="172" fontId="60" fillId="0" borderId="0" xfId="0" applyNumberFormat="1" applyFont="1" applyFill="1" applyBorder="1" applyAlignment="1" applyProtection="1">
      <alignment horizontal="center"/>
      <protection locked="0"/>
    </xf>
    <xf numFmtId="2" fontId="60" fillId="0" borderId="0" xfId="0" applyNumberFormat="1" applyFont="1" applyFill="1" applyBorder="1" applyAlignment="1">
      <alignment horizontal="center"/>
    </xf>
    <xf numFmtId="172" fontId="60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172" fontId="6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2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62" applyNumberFormat="1" applyFont="1" applyFill="1" applyBorder="1" applyAlignment="1" applyProtection="1">
      <alignment horizontal="center" vertical="center" wrapText="1"/>
      <protection/>
    </xf>
    <xf numFmtId="2" fontId="4" fillId="33" borderId="10" xfId="62" applyNumberFormat="1" applyFont="1" applyFill="1" applyBorder="1" applyAlignment="1" applyProtection="1">
      <alignment horizontal="center" vertical="center" wrapText="1"/>
      <protection/>
    </xf>
    <xf numFmtId="2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hova\&#1052;&#1086;&#1080;.&#1076;&#1086;&#1082;&#1080;\&#1055;&#1088;&#1086;&#1075;&#1085;&#1086;&#1079;%20&#1076;&#1086;%202024%20&#1075;&#1086;&#1076;&#1072;\&#1060;&#1086;&#1088;&#1084;&#1072;\3.%20&#1060;&#1086;&#1088;&#1084;&#1072;%202&#1055;_&#1052;&#1086;&#1085;&#1086;&#1075;&#1086;&#1088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hova\&#1052;&#1086;&#1080;.&#1076;&#1086;&#1082;&#1080;\&#1055;&#1088;&#1086;&#1075;&#1085;&#1086;&#1079;%20&#1076;&#1086;%202024%20&#1075;&#1086;&#1076;&#1072;\&#1060;&#1086;&#1088;&#1084;&#1072;\&#1074;&#1089;&#1087;&#1086;&#1084;&#1086;&#1075;&#1072;&#1090;&#1077;&#1083;&#1100;&#1085;&#1099;&#1077;%20&#1090;&#1072;&#1073;&#1083;&#1080;&#1094;&#1099;%20&#1084;&#1086;&#1085;&#1086;%20&#1076;&#1086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п моно (2)"/>
      <sheetName val="форма 2п моно"/>
      <sheetName val="Лист1"/>
      <sheetName val="Лист2"/>
    </sheetNames>
    <sheetDataSet>
      <sheetData sheetId="1">
        <row r="10">
          <cell r="E10">
            <v>42.51</v>
          </cell>
          <cell r="F10">
            <v>42.092999999999996</v>
          </cell>
          <cell r="G10">
            <v>41.681</v>
          </cell>
          <cell r="H10">
            <v>41.689</v>
          </cell>
          <cell r="I10">
            <v>41.278999999999996</v>
          </cell>
          <cell r="J10">
            <v>41.302</v>
          </cell>
          <cell r="K10">
            <v>40.887</v>
          </cell>
          <cell r="L10">
            <v>40.935</v>
          </cell>
        </row>
        <row r="11">
          <cell r="E11">
            <v>98.95251396648044</v>
          </cell>
          <cell r="F11">
            <v>99.01905434015525</v>
          </cell>
          <cell r="G11">
            <v>99.02121492884804</v>
          </cell>
          <cell r="H11">
            <v>99.04022046421021</v>
          </cell>
          <cell r="I11">
            <v>99.03553177706868</v>
          </cell>
          <cell r="J11">
            <v>99.07169757010243</v>
          </cell>
          <cell r="K11">
            <v>99.05036459216552</v>
          </cell>
          <cell r="L11">
            <v>99.11142317563315</v>
          </cell>
        </row>
        <row r="12">
          <cell r="E12">
            <v>0.409</v>
          </cell>
          <cell r="F12">
            <v>0.41</v>
          </cell>
          <cell r="G12">
            <v>0.412</v>
          </cell>
          <cell r="H12">
            <v>0.413</v>
          </cell>
          <cell r="I12">
            <v>0.415</v>
          </cell>
          <cell r="J12">
            <v>0.418</v>
          </cell>
          <cell r="K12">
            <v>0.42</v>
          </cell>
          <cell r="L12">
            <v>0.424</v>
          </cell>
        </row>
        <row r="15">
          <cell r="E15">
            <v>0.755</v>
          </cell>
          <cell r="F15">
            <v>0.752</v>
          </cell>
          <cell r="G15">
            <v>0.75</v>
          </cell>
          <cell r="H15">
            <v>0.749</v>
          </cell>
          <cell r="I15">
            <v>0.747</v>
          </cell>
          <cell r="J15">
            <v>0.745</v>
          </cell>
          <cell r="K15">
            <v>0.744</v>
          </cell>
          <cell r="L15">
            <v>0.741</v>
          </cell>
        </row>
        <row r="20">
          <cell r="E20">
            <v>-8.139261350270527</v>
          </cell>
          <cell r="F20">
            <v>-8.124866367329487</v>
          </cell>
          <cell r="G20">
            <v>-8.109210431611526</v>
          </cell>
          <cell r="H20">
            <v>-8.05968001151383</v>
          </cell>
          <cell r="I20">
            <v>-8.04283049492478</v>
          </cell>
          <cell r="J20">
            <v>-7.917292140816426</v>
          </cell>
          <cell r="K20">
            <v>-7.924279110719788</v>
          </cell>
          <cell r="L20">
            <v>-7.7439843654574325</v>
          </cell>
        </row>
        <row r="25">
          <cell r="D25">
            <v>16816</v>
          </cell>
          <cell r="E25">
            <v>16594</v>
          </cell>
          <cell r="F25">
            <v>16456</v>
          </cell>
          <cell r="G25">
            <v>16459</v>
          </cell>
          <cell r="H25">
            <v>16476</v>
          </cell>
          <cell r="I25">
            <v>16464</v>
          </cell>
          <cell r="J25">
            <v>16498</v>
          </cell>
          <cell r="K25">
            <v>16471</v>
          </cell>
          <cell r="L25">
            <v>16524</v>
          </cell>
        </row>
        <row r="32">
          <cell r="E32">
            <v>20728</v>
          </cell>
          <cell r="F32">
            <v>20458.536</v>
          </cell>
          <cell r="G32">
            <v>20229.4003968</v>
          </cell>
          <cell r="H32">
            <v>20247.8130792</v>
          </cell>
          <cell r="I32">
            <v>19992.71641215744</v>
          </cell>
          <cell r="J32">
            <v>20037.23582317632</v>
          </cell>
          <cell r="K32">
            <v>19780.79361818857</v>
          </cell>
          <cell r="L32">
            <v>19858.904424350054</v>
          </cell>
        </row>
        <row r="35">
          <cell r="E35">
            <v>23200</v>
          </cell>
          <cell r="F35">
            <v>23046</v>
          </cell>
          <cell r="G35">
            <v>22769</v>
          </cell>
          <cell r="H35">
            <v>22931</v>
          </cell>
          <cell r="I35">
            <v>22496</v>
          </cell>
          <cell r="J35">
            <v>22816</v>
          </cell>
          <cell r="K35">
            <v>22226</v>
          </cell>
          <cell r="L35">
            <v>22702</v>
          </cell>
        </row>
        <row r="36">
          <cell r="E36">
            <v>232</v>
          </cell>
          <cell r="F36">
            <v>260</v>
          </cell>
          <cell r="G36">
            <v>259</v>
          </cell>
          <cell r="H36">
            <v>250</v>
          </cell>
          <cell r="I36">
            <v>255</v>
          </cell>
          <cell r="J36">
            <v>245</v>
          </cell>
          <cell r="K36">
            <v>250</v>
          </cell>
          <cell r="L36">
            <v>240</v>
          </cell>
        </row>
        <row r="60">
          <cell r="D60">
            <v>6235.2</v>
          </cell>
          <cell r="E60">
            <v>7846.4</v>
          </cell>
          <cell r="F60">
            <v>8465.079</v>
          </cell>
          <cell r="G60">
            <v>8852.7730428</v>
          </cell>
          <cell r="H60">
            <v>8886.8996709</v>
          </cell>
          <cell r="I60">
            <v>9222.5086767224</v>
          </cell>
          <cell r="J60">
            <v>9282.1683586552</v>
          </cell>
          <cell r="K60">
            <v>9625.756635861708</v>
          </cell>
          <cell r="L60">
            <v>9701.115741979307</v>
          </cell>
        </row>
        <row r="63">
          <cell r="D63">
            <v>3067.2</v>
          </cell>
          <cell r="E63">
            <v>3682.4</v>
          </cell>
          <cell r="F63">
            <v>4069.052</v>
          </cell>
          <cell r="G63">
            <v>4276.573652</v>
          </cell>
          <cell r="H63">
            <v>4280.642704000001</v>
          </cell>
          <cell r="I63">
            <v>4460.466319036</v>
          </cell>
          <cell r="J63">
            <v>4477.552268384001</v>
          </cell>
          <cell r="K63">
            <v>4661.1873033926195</v>
          </cell>
          <cell r="L63">
            <v>4687.997224998048</v>
          </cell>
        </row>
        <row r="65">
          <cell r="D65">
            <v>2653.9</v>
          </cell>
          <cell r="E65">
            <v>3632.1</v>
          </cell>
          <cell r="F65">
            <v>3837.8141</v>
          </cell>
          <cell r="G65">
            <v>3995.6579748000004</v>
          </cell>
          <cell r="H65">
            <v>4024.1948322000003</v>
          </cell>
          <cell r="I65">
            <v>4158.3593234464</v>
          </cell>
          <cell r="J65">
            <v>4199.271470183201</v>
          </cell>
          <cell r="K65">
            <v>4336.822136757088</v>
          </cell>
          <cell r="L65">
            <v>4383.56011208974</v>
          </cell>
        </row>
        <row r="67">
          <cell r="D67">
            <v>439.9</v>
          </cell>
          <cell r="E67">
            <v>457.9</v>
          </cell>
          <cell r="F67">
            <v>481.25289999999995</v>
          </cell>
          <cell r="G67">
            <v>500.50301599999995</v>
          </cell>
          <cell r="H67">
            <v>501.94677469999993</v>
          </cell>
          <cell r="I67">
            <v>520.52313664</v>
          </cell>
          <cell r="J67">
            <v>522.024645688</v>
          </cell>
          <cell r="K67">
            <v>541.3440621056</v>
          </cell>
          <cell r="L67">
            <v>542.90563151552</v>
          </cell>
        </row>
        <row r="69">
          <cell r="D69">
            <v>74.2</v>
          </cell>
          <cell r="E69">
            <v>74</v>
          </cell>
          <cell r="F69">
            <v>76.96000000000001</v>
          </cell>
          <cell r="G69">
            <v>80.03840000000001</v>
          </cell>
          <cell r="H69">
            <v>80.11536</v>
          </cell>
          <cell r="I69">
            <v>83.15989760000001</v>
          </cell>
          <cell r="J69">
            <v>83.31997439999999</v>
          </cell>
          <cell r="K69">
            <v>86.4031336064</v>
          </cell>
          <cell r="L69">
            <v>86.652773376</v>
          </cell>
        </row>
        <row r="72">
          <cell r="D72">
            <v>873</v>
          </cell>
          <cell r="E72">
            <v>37</v>
          </cell>
          <cell r="F72">
            <v>50</v>
          </cell>
          <cell r="G72">
            <v>60</v>
          </cell>
          <cell r="H72">
            <v>80</v>
          </cell>
          <cell r="I72">
            <v>80</v>
          </cell>
          <cell r="J72">
            <v>100</v>
          </cell>
          <cell r="K72">
            <v>90</v>
          </cell>
          <cell r="L72">
            <v>150</v>
          </cell>
        </row>
        <row r="73">
          <cell r="D73">
            <v>230.3</v>
          </cell>
          <cell r="E73">
            <v>4.2</v>
          </cell>
          <cell r="F73">
            <v>135.1</v>
          </cell>
          <cell r="G73">
            <v>120</v>
          </cell>
          <cell r="H73">
            <v>160</v>
          </cell>
          <cell r="I73">
            <v>133.33</v>
          </cell>
          <cell r="J73">
            <v>125</v>
          </cell>
          <cell r="K73">
            <v>112.5</v>
          </cell>
          <cell r="L73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</sheetNames>
    <sheetDataSet>
      <sheetData sheetId="0">
        <row r="18">
          <cell r="I18">
            <v>12203.38343</v>
          </cell>
          <cell r="J18">
            <v>12700.378488676</v>
          </cell>
          <cell r="K18">
            <v>13119.39894850614</v>
          </cell>
          <cell r="L18">
            <v>13191.17973581628</v>
          </cell>
          <cell r="N18">
            <v>13593.462089061733</v>
          </cell>
          <cell r="O18">
            <v>13752.861325475047</v>
          </cell>
          <cell r="Q18">
            <v>14103.204004947656</v>
          </cell>
          <cell r="R18">
            <v>14355.507247564974</v>
          </cell>
        </row>
        <row r="21">
          <cell r="I21">
            <v>4268.5</v>
          </cell>
          <cell r="J21">
            <v>4528.8785</v>
          </cell>
          <cell r="K21">
            <v>4782.495696</v>
          </cell>
          <cell r="L21">
            <v>4791.553453</v>
          </cell>
          <cell r="N21">
            <v>5083.7929248479995</v>
          </cell>
          <cell r="O21">
            <v>5117.379087804001</v>
          </cell>
          <cell r="Q21">
            <v>5414.23946496312</v>
          </cell>
          <cell r="R21">
            <v>5465.360865774674</v>
          </cell>
        </row>
        <row r="31">
          <cell r="I31">
            <v>23922.573962989103</v>
          </cell>
          <cell r="J31">
            <v>25143.488799950905</v>
          </cell>
          <cell r="K31">
            <v>26229.774854462346</v>
          </cell>
          <cell r="L31">
            <v>26368.226102441655</v>
          </cell>
          <cell r="N31">
            <v>27442.2468427484</v>
          </cell>
          <cell r="O31">
            <v>27748.578207421444</v>
          </cell>
          <cell r="Q31">
            <v>28744.270805202257</v>
          </cell>
          <cell r="R31">
            <v>29224.1912942571</v>
          </cell>
        </row>
        <row r="34">
          <cell r="I34">
            <v>12623</v>
          </cell>
          <cell r="J34">
            <v>13280</v>
          </cell>
          <cell r="K34">
            <v>13718.24</v>
          </cell>
          <cell r="L34">
            <v>13731.52</v>
          </cell>
          <cell r="N34">
            <v>14143.505439999999</v>
          </cell>
          <cell r="O34">
            <v>14184.66016</v>
          </cell>
          <cell r="Q34">
            <v>14638.528130399998</v>
          </cell>
          <cell r="R34">
            <v>14666.93860544</v>
          </cell>
        </row>
        <row r="35">
          <cell r="I35">
            <v>13.803810868031052</v>
          </cell>
          <cell r="J35">
            <v>12.125531561067163</v>
          </cell>
          <cell r="K35">
            <v>11.995873419543678</v>
          </cell>
          <cell r="L35">
            <v>11.87363573124805</v>
          </cell>
          <cell r="N35">
            <v>11.991569563216164</v>
          </cell>
          <cell r="O35">
            <v>11.621713234225945</v>
          </cell>
          <cell r="Q35">
            <v>11.739672756621909</v>
          </cell>
          <cell r="R35">
            <v>11.481617197996824</v>
          </cell>
        </row>
        <row r="36">
          <cell r="I36">
            <v>12147.21500472</v>
          </cell>
          <cell r="J36">
            <v>12643.119114842719</v>
          </cell>
          <cell r="K36">
            <v>13061.778296434113</v>
          </cell>
          <cell r="L36">
            <v>13133.230117666113</v>
          </cell>
          <cell r="N36">
            <v>13535.339338997037</v>
          </cell>
          <cell r="O36">
            <v>13690.170570646298</v>
          </cell>
          <cell r="Q36">
            <v>14041.61155520093</v>
          </cell>
          <cell r="R36">
            <v>14291.37739347215</v>
          </cell>
        </row>
        <row r="42">
          <cell r="I42">
            <v>56.16842528000052</v>
          </cell>
          <cell r="J42">
            <v>57.25937383328164</v>
          </cell>
          <cell r="K42">
            <v>57.62065207202613</v>
          </cell>
          <cell r="L42">
            <v>57.949618150167225</v>
          </cell>
          <cell r="N42">
            <v>58.12275006469645</v>
          </cell>
          <cell r="O42">
            <v>62.69075482874905</v>
          </cell>
          <cell r="Q42">
            <v>61.59244974672583</v>
          </cell>
          <cell r="R42">
            <v>64.12985409282373</v>
          </cell>
        </row>
      </sheetData>
      <sheetData sheetId="3">
        <row r="10">
          <cell r="H10">
            <v>520821</v>
          </cell>
          <cell r="I10">
            <v>635607.633</v>
          </cell>
          <cell r="J10">
            <v>404982.158</v>
          </cell>
          <cell r="K10">
            <v>2282943.6883199997</v>
          </cell>
          <cell r="M10">
            <v>421991.40863600007</v>
          </cell>
          <cell r="N10">
            <v>467090.87129111995</v>
          </cell>
          <cell r="P10">
            <v>439293.056390076</v>
          </cell>
          <cell r="Q10">
            <v>456918.4186015559</v>
          </cell>
        </row>
        <row r="11">
          <cell r="H11">
            <v>69.55859697873437</v>
          </cell>
          <cell r="I11">
            <v>116.11755987885124</v>
          </cell>
          <cell r="J11">
            <v>61.14755090735243</v>
          </cell>
          <cell r="K11">
            <v>345.3605727617424</v>
          </cell>
          <cell r="M11">
            <v>100.00000000000003</v>
          </cell>
          <cell r="N11">
            <v>19.654203612276294</v>
          </cell>
          <cell r="P11">
            <v>100</v>
          </cell>
          <cell r="Q11">
            <v>93.9694220748349</v>
          </cell>
        </row>
        <row r="14">
          <cell r="H14">
            <v>471782</v>
          </cell>
          <cell r="I14">
            <v>341515</v>
          </cell>
          <cell r="J14">
            <v>355175.6</v>
          </cell>
          <cell r="K14">
            <v>358590.75</v>
          </cell>
          <cell r="M14">
            <v>370092.97520000004</v>
          </cell>
          <cell r="N14">
            <v>376520.2875</v>
          </cell>
          <cell r="P14">
            <v>385266.7871832</v>
          </cell>
          <cell r="Q14">
            <v>395346.301875</v>
          </cell>
        </row>
        <row r="16">
          <cell r="H16">
            <v>152896</v>
          </cell>
          <cell r="I16">
            <v>10370</v>
          </cell>
          <cell r="J16">
            <v>10784.800000000001</v>
          </cell>
          <cell r="K16">
            <v>10888.5</v>
          </cell>
          <cell r="M16">
            <v>11237.761600000002</v>
          </cell>
          <cell r="N16">
            <v>11432.925000000001</v>
          </cell>
          <cell r="P16">
            <v>11698.5098256</v>
          </cell>
          <cell r="Q16">
            <v>12004.57125</v>
          </cell>
        </row>
        <row r="17">
          <cell r="H17">
            <v>318886</v>
          </cell>
          <cell r="I17">
            <v>331145</v>
          </cell>
          <cell r="J17">
            <v>344390.8</v>
          </cell>
          <cell r="K17">
            <v>347702.25</v>
          </cell>
          <cell r="M17">
            <v>358855.2136</v>
          </cell>
          <cell r="N17">
            <v>365087.3625</v>
          </cell>
          <cell r="P17">
            <v>373568.2773576</v>
          </cell>
          <cell r="Q17">
            <v>383341.730625</v>
          </cell>
        </row>
        <row r="18">
          <cell r="H18">
            <v>49039</v>
          </cell>
          <cell r="I18">
            <v>294092.63300000003</v>
          </cell>
          <cell r="J18">
            <v>49806.558</v>
          </cell>
          <cell r="K18">
            <v>1924352.93832</v>
          </cell>
          <cell r="M18">
            <v>51898.433436000014</v>
          </cell>
          <cell r="N18">
            <v>90570.58379112</v>
          </cell>
          <cell r="P18">
            <v>54026.269206876</v>
          </cell>
          <cell r="Q18">
            <v>61572.11672655592</v>
          </cell>
        </row>
        <row r="22">
          <cell r="H22">
            <v>395</v>
          </cell>
        </row>
        <row r="23">
          <cell r="H23">
            <v>47316</v>
          </cell>
          <cell r="I23">
            <v>101717</v>
          </cell>
          <cell r="J23">
            <v>49303.272</v>
          </cell>
          <cell r="K23">
            <v>1923825</v>
          </cell>
          <cell r="M23">
            <v>51374.00942400001</v>
          </cell>
          <cell r="N23">
            <v>90021</v>
          </cell>
          <cell r="P23">
            <v>53480.343810384</v>
          </cell>
          <cell r="Q23">
            <v>61000</v>
          </cell>
        </row>
        <row r="25">
          <cell r="H25">
            <v>3162</v>
          </cell>
          <cell r="I25">
            <v>27534</v>
          </cell>
          <cell r="J25">
            <v>3294.804</v>
          </cell>
          <cell r="K25">
            <v>765541</v>
          </cell>
          <cell r="M25">
            <v>3433.1857680000003</v>
          </cell>
          <cell r="N25">
            <v>47240</v>
          </cell>
          <cell r="P25">
            <v>3573.946384488</v>
          </cell>
          <cell r="Q25">
            <v>47000</v>
          </cell>
        </row>
        <row r="26">
          <cell r="H26">
            <v>31085</v>
          </cell>
          <cell r="I26">
            <v>62015</v>
          </cell>
          <cell r="J26">
            <v>32390.57</v>
          </cell>
          <cell r="K26">
            <v>1150623</v>
          </cell>
          <cell r="M26">
            <v>33750.97394</v>
          </cell>
          <cell r="N26">
            <v>38123</v>
          </cell>
          <cell r="P26">
            <v>35134.76387154</v>
          </cell>
          <cell r="Q26">
            <v>12171</v>
          </cell>
        </row>
        <row r="27">
          <cell r="H27">
            <v>13069</v>
          </cell>
          <cell r="I27">
            <v>12168</v>
          </cell>
          <cell r="J27">
            <v>13617.898000000001</v>
          </cell>
          <cell r="K27">
            <v>7661</v>
          </cell>
          <cell r="M27">
            <v>14189.849716000002</v>
          </cell>
          <cell r="N27">
            <v>4658</v>
          </cell>
          <cell r="P27">
            <v>14771.633554356002</v>
          </cell>
          <cell r="Q27">
            <v>1829</v>
          </cell>
        </row>
        <row r="28">
          <cell r="H28">
            <v>483</v>
          </cell>
          <cell r="I28">
            <v>507.633</v>
          </cell>
          <cell r="J28">
            <v>503.286</v>
          </cell>
          <cell r="K28">
            <v>527.93832</v>
          </cell>
          <cell r="M28">
            <v>524.4240120000001</v>
          </cell>
          <cell r="N28">
            <v>549.5837911199999</v>
          </cell>
          <cell r="P28">
            <v>545.925396492</v>
          </cell>
          <cell r="Q28">
            <v>572.1167265559199</v>
          </cell>
        </row>
        <row r="29">
          <cell r="H29">
            <v>845</v>
          </cell>
          <cell r="I29">
            <v>191868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</row>
      </sheetData>
      <sheetData sheetId="4">
        <row r="7">
          <cell r="I7">
            <v>479.15</v>
          </cell>
        </row>
        <row r="9">
          <cell r="I9">
            <v>466</v>
          </cell>
        </row>
        <row r="11">
          <cell r="I11">
            <v>465</v>
          </cell>
        </row>
        <row r="12">
          <cell r="I12">
            <v>462</v>
          </cell>
        </row>
        <row r="14">
          <cell r="I14">
            <v>464</v>
          </cell>
        </row>
        <row r="15">
          <cell r="I15">
            <v>458</v>
          </cell>
        </row>
        <row r="17">
          <cell r="I17">
            <v>463</v>
          </cell>
        </row>
        <row r="18">
          <cell r="I18">
            <v>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8"/>
  <sheetViews>
    <sheetView tabSelected="1" view="pageBreakPreview" zoomScale="50" zoomScaleNormal="70" zoomScaleSheetLayoutView="50" workbookViewId="0" topLeftCell="B1">
      <selection activeCell="W19" sqref="V19:W19"/>
    </sheetView>
  </sheetViews>
  <sheetFormatPr defaultColWidth="9.125" defaultRowHeight="0" customHeight="1"/>
  <cols>
    <col min="1" max="1" width="9.125" style="6" hidden="1" customWidth="1"/>
    <col min="2" max="2" width="73.50390625" style="6" customWidth="1"/>
    <col min="3" max="3" width="43.50390625" style="6" customWidth="1"/>
    <col min="4" max="4" width="15.00390625" style="50" customWidth="1"/>
    <col min="5" max="5" width="15.375" style="50" customWidth="1"/>
    <col min="6" max="6" width="14.625" style="50" customWidth="1"/>
    <col min="7" max="8" width="15.375" style="50" customWidth="1"/>
    <col min="9" max="11" width="15.50390625" style="50" customWidth="1"/>
    <col min="12" max="12" width="15.375" style="50" customWidth="1"/>
    <col min="13" max="13" width="8.50390625" style="6" customWidth="1"/>
    <col min="14" max="14" width="10.50390625" style="6" bestFit="1" customWidth="1"/>
    <col min="15" max="15" width="10.375" style="6" customWidth="1"/>
    <col min="16" max="16384" width="9.125" style="6" customWidth="1"/>
  </cols>
  <sheetData>
    <row r="1" spans="9:12" ht="21" customHeight="1">
      <c r="I1" s="83" t="s">
        <v>116</v>
      </c>
      <c r="J1" s="83"/>
      <c r="K1" s="83"/>
      <c r="L1" s="83"/>
    </row>
    <row r="2" spans="9:12" ht="21" customHeight="1">
      <c r="I2" s="83" t="s">
        <v>117</v>
      </c>
      <c r="J2" s="83"/>
      <c r="K2" s="83"/>
      <c r="L2" s="83"/>
    </row>
    <row r="3" spans="3:12" ht="24" customHeight="1">
      <c r="C3" s="9"/>
      <c r="H3" s="51"/>
      <c r="I3" s="83" t="s">
        <v>118</v>
      </c>
      <c r="J3" s="83"/>
      <c r="K3" s="83"/>
      <c r="L3" s="83"/>
    </row>
    <row r="4" spans="3:12" ht="24" customHeight="1">
      <c r="C4" s="9"/>
      <c r="H4" s="51"/>
      <c r="I4" s="83" t="s">
        <v>119</v>
      </c>
      <c r="J4" s="83"/>
      <c r="K4" s="83"/>
      <c r="L4" s="83"/>
    </row>
    <row r="5" spans="2:12" ht="23.25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2:12" ht="24.75" customHeight="1">
      <c r="B6" s="87" t="s">
        <v>107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2" ht="25.5" customHeight="1">
      <c r="B7" s="87" t="s">
        <v>140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9" spans="2:12" ht="37.5" customHeight="1">
      <c r="B9" s="88" t="s">
        <v>32</v>
      </c>
      <c r="C9" s="88" t="s">
        <v>33</v>
      </c>
      <c r="D9" s="84" t="s">
        <v>39</v>
      </c>
      <c r="E9" s="85"/>
      <c r="F9" s="52" t="s">
        <v>40</v>
      </c>
      <c r="G9" s="52" t="s">
        <v>41</v>
      </c>
      <c r="H9" s="52"/>
      <c r="I9" s="52"/>
      <c r="J9" s="52"/>
      <c r="K9" s="52"/>
      <c r="L9" s="52"/>
    </row>
    <row r="10" spans="2:12" ht="18.75">
      <c r="B10" s="88"/>
      <c r="C10" s="88"/>
      <c r="D10" s="89">
        <v>2017</v>
      </c>
      <c r="E10" s="89">
        <f>D10+1</f>
        <v>2018</v>
      </c>
      <c r="F10" s="89">
        <f>E10+1</f>
        <v>2019</v>
      </c>
      <c r="G10" s="84">
        <f>F10+1</f>
        <v>2020</v>
      </c>
      <c r="H10" s="85"/>
      <c r="I10" s="84">
        <f>G10+1</f>
        <v>2021</v>
      </c>
      <c r="J10" s="85"/>
      <c r="K10" s="84">
        <f>I10+1</f>
        <v>2022</v>
      </c>
      <c r="L10" s="85"/>
    </row>
    <row r="11" spans="2:12" ht="18.75">
      <c r="B11" s="88"/>
      <c r="C11" s="88"/>
      <c r="D11" s="89"/>
      <c r="E11" s="89"/>
      <c r="F11" s="89"/>
      <c r="G11" s="53" t="s">
        <v>34</v>
      </c>
      <c r="H11" s="53" t="s">
        <v>35</v>
      </c>
      <c r="I11" s="53" t="s">
        <v>34</v>
      </c>
      <c r="J11" s="53" t="s">
        <v>35</v>
      </c>
      <c r="K11" s="53" t="s">
        <v>34</v>
      </c>
      <c r="L11" s="53" t="s">
        <v>35</v>
      </c>
    </row>
    <row r="12" spans="2:12" ht="18.75">
      <c r="B12" s="10" t="s">
        <v>36</v>
      </c>
      <c r="C12" s="11"/>
      <c r="D12" s="54"/>
      <c r="E12" s="55"/>
      <c r="F12" s="55"/>
      <c r="G12" s="55"/>
      <c r="H12" s="55"/>
      <c r="I12" s="55"/>
      <c r="J12" s="55"/>
      <c r="K12" s="55"/>
      <c r="L12" s="55"/>
    </row>
    <row r="13" spans="2:12" ht="18.75">
      <c r="B13" s="90" t="s">
        <v>42</v>
      </c>
      <c r="C13" s="11" t="s">
        <v>30</v>
      </c>
      <c r="D13" s="92">
        <v>42.96</v>
      </c>
      <c r="E13" s="92">
        <f>'[1]форма 2п моно'!E10</f>
        <v>42.51</v>
      </c>
      <c r="F13" s="92">
        <f>'[1]форма 2п моно'!F10</f>
        <v>42.092999999999996</v>
      </c>
      <c r="G13" s="93">
        <f>'[1]форма 2п моно'!$G10</f>
        <v>41.681</v>
      </c>
      <c r="H13" s="93">
        <f>'[1]форма 2п моно'!$H10</f>
        <v>41.689</v>
      </c>
      <c r="I13" s="93">
        <f>'[1]форма 2п моно'!I10</f>
        <v>41.278999999999996</v>
      </c>
      <c r="J13" s="93">
        <f>'[1]форма 2п моно'!J10</f>
        <v>41.302</v>
      </c>
      <c r="K13" s="93">
        <f>'[1]форма 2п моно'!K10</f>
        <v>40.887</v>
      </c>
      <c r="L13" s="93">
        <f>'[1]форма 2п моно'!L10</f>
        <v>40.935</v>
      </c>
    </row>
    <row r="14" spans="2:12" ht="18.75">
      <c r="B14" s="90"/>
      <c r="C14" s="11" t="s">
        <v>43</v>
      </c>
      <c r="D14" s="92">
        <v>98.9</v>
      </c>
      <c r="E14" s="92">
        <f>'[1]форма 2п моно'!E11</f>
        <v>98.95251396648044</v>
      </c>
      <c r="F14" s="92">
        <f>'[1]форма 2п моно'!F11</f>
        <v>99.01905434015525</v>
      </c>
      <c r="G14" s="93">
        <f>'[1]форма 2п моно'!$G11</f>
        <v>99.02121492884804</v>
      </c>
      <c r="H14" s="93">
        <f>'[1]форма 2п моно'!$H11</f>
        <v>99.04022046421021</v>
      </c>
      <c r="I14" s="93">
        <f>'[1]форма 2п моно'!I11</f>
        <v>99.03553177706868</v>
      </c>
      <c r="J14" s="93">
        <f>'[1]форма 2п моно'!J11</f>
        <v>99.07169757010243</v>
      </c>
      <c r="K14" s="93">
        <f>'[1]форма 2п моно'!K11</f>
        <v>99.05036459216552</v>
      </c>
      <c r="L14" s="93">
        <f>'[1]форма 2п моно'!L11</f>
        <v>99.11142317563315</v>
      </c>
    </row>
    <row r="15" spans="2:14" ht="18.75">
      <c r="B15" s="12" t="s">
        <v>44</v>
      </c>
      <c r="C15" s="11" t="s">
        <v>45</v>
      </c>
      <c r="D15" s="92">
        <v>69.2</v>
      </c>
      <c r="E15" s="94">
        <f>D15*1.00275</f>
        <v>69.39030000000001</v>
      </c>
      <c r="F15" s="92">
        <f>E15*1.0085</f>
        <v>69.98011755</v>
      </c>
      <c r="G15" s="93">
        <f>F15*1.0022</f>
        <v>70.13407380861</v>
      </c>
      <c r="H15" s="93">
        <f>F15*1.005</f>
        <v>70.33001813774999</v>
      </c>
      <c r="I15" s="93">
        <f>G15*1.002</f>
        <v>70.27434195622722</v>
      </c>
      <c r="J15" s="93">
        <f>H15*1.0047</f>
        <v>70.66056922299741</v>
      </c>
      <c r="K15" s="93">
        <f>I15*1.002</f>
        <v>70.41489064013967</v>
      </c>
      <c r="L15" s="93">
        <f>J15*1.044</f>
        <v>73.7696342688093</v>
      </c>
      <c r="N15" s="30" t="s">
        <v>142</v>
      </c>
    </row>
    <row r="16" spans="2:12" ht="18.75">
      <c r="B16" s="90" t="s">
        <v>46</v>
      </c>
      <c r="C16" s="11" t="s">
        <v>30</v>
      </c>
      <c r="D16" s="95">
        <v>0.458</v>
      </c>
      <c r="E16" s="95">
        <f>'[1]форма 2п моно'!E12</f>
        <v>0.409</v>
      </c>
      <c r="F16" s="95">
        <f>'[1]форма 2п моно'!F12</f>
        <v>0.41</v>
      </c>
      <c r="G16" s="96">
        <f>'[1]форма 2п моно'!$G12</f>
        <v>0.412</v>
      </c>
      <c r="H16" s="96">
        <f>'[1]форма 2п моно'!$H12</f>
        <v>0.413</v>
      </c>
      <c r="I16" s="96">
        <f>'[1]форма 2п моно'!I12</f>
        <v>0.415</v>
      </c>
      <c r="J16" s="96">
        <f>'[1]форма 2п моно'!J12</f>
        <v>0.418</v>
      </c>
      <c r="K16" s="96">
        <f>'[1]форма 2п моно'!K12</f>
        <v>0.42</v>
      </c>
      <c r="L16" s="96">
        <f>'[1]форма 2п моно'!L12</f>
        <v>0.424</v>
      </c>
    </row>
    <row r="17" spans="2:12" ht="18.75">
      <c r="B17" s="90"/>
      <c r="C17" s="11" t="s">
        <v>43</v>
      </c>
      <c r="D17" s="92">
        <v>99.1</v>
      </c>
      <c r="E17" s="92">
        <f>E16/D16*100</f>
        <v>89.30131004366811</v>
      </c>
      <c r="F17" s="92">
        <f>F16/E16*100</f>
        <v>100.24449877750612</v>
      </c>
      <c r="G17" s="93">
        <f>G16/F16*100</f>
        <v>100.48780487804878</v>
      </c>
      <c r="H17" s="93">
        <f>H16/F16*100</f>
        <v>100.73170731707317</v>
      </c>
      <c r="I17" s="93">
        <f>I16/G16*100</f>
        <v>100.72815533980584</v>
      </c>
      <c r="J17" s="93">
        <f>J16/H16*100</f>
        <v>101.21065375302662</v>
      </c>
      <c r="K17" s="93">
        <f>K16/I16*100</f>
        <v>101.20481927710843</v>
      </c>
      <c r="L17" s="93">
        <f>L16/J16*100</f>
        <v>101.43540669856459</v>
      </c>
    </row>
    <row r="18" spans="2:12" ht="18.75">
      <c r="B18" s="12" t="s">
        <v>47</v>
      </c>
      <c r="C18" s="11" t="s">
        <v>48</v>
      </c>
      <c r="D18" s="92">
        <v>10.7</v>
      </c>
      <c r="E18" s="92">
        <f aca="true" t="shared" si="0" ref="E18:L18">E16/E13*1000</f>
        <v>9.621265584568336</v>
      </c>
      <c r="F18" s="92">
        <f t="shared" si="0"/>
        <v>9.740336873114295</v>
      </c>
      <c r="G18" s="93">
        <f t="shared" si="0"/>
        <v>9.884599697703988</v>
      </c>
      <c r="H18" s="93">
        <f t="shared" si="0"/>
        <v>9.906690014152415</v>
      </c>
      <c r="I18" s="93">
        <f t="shared" si="0"/>
        <v>10.053538118655977</v>
      </c>
      <c r="J18" s="93">
        <f t="shared" si="0"/>
        <v>10.120575274805093</v>
      </c>
      <c r="K18" s="93">
        <f t="shared" si="0"/>
        <v>10.27221366204417</v>
      </c>
      <c r="L18" s="93">
        <f t="shared" si="0"/>
        <v>10.357884450958835</v>
      </c>
    </row>
    <row r="19" spans="2:12" ht="18.75">
      <c r="B19" s="90" t="s">
        <v>49</v>
      </c>
      <c r="C19" s="11" t="s">
        <v>30</v>
      </c>
      <c r="D19" s="95">
        <v>0.786</v>
      </c>
      <c r="E19" s="95">
        <f>'[1]форма 2п моно'!E15</f>
        <v>0.755</v>
      </c>
      <c r="F19" s="95">
        <f>'[1]форма 2п моно'!F15</f>
        <v>0.752</v>
      </c>
      <c r="G19" s="96">
        <f>'[1]форма 2п моно'!$G15</f>
        <v>0.75</v>
      </c>
      <c r="H19" s="96">
        <f>'[1]форма 2п моно'!$H15</f>
        <v>0.749</v>
      </c>
      <c r="I19" s="96">
        <f>'[1]форма 2п моно'!I15</f>
        <v>0.747</v>
      </c>
      <c r="J19" s="96">
        <f>'[1]форма 2п моно'!J15</f>
        <v>0.745</v>
      </c>
      <c r="K19" s="96">
        <f>'[1]форма 2п моно'!K15</f>
        <v>0.744</v>
      </c>
      <c r="L19" s="96">
        <f>'[1]форма 2п моно'!L15</f>
        <v>0.741</v>
      </c>
    </row>
    <row r="20" spans="2:12" ht="18.75">
      <c r="B20" s="90"/>
      <c r="C20" s="11" t="s">
        <v>43</v>
      </c>
      <c r="D20" s="92">
        <v>101</v>
      </c>
      <c r="E20" s="92">
        <f>E19/D19*100</f>
        <v>96.0559796437659</v>
      </c>
      <c r="F20" s="92">
        <f>F19/E19*100</f>
        <v>99.60264900662251</v>
      </c>
      <c r="G20" s="93">
        <f>G19/F19*100</f>
        <v>99.7340425531915</v>
      </c>
      <c r="H20" s="93">
        <f>H19/F19*100</f>
        <v>99.60106382978722</v>
      </c>
      <c r="I20" s="93">
        <f>I19/G19*100</f>
        <v>99.6</v>
      </c>
      <c r="J20" s="93">
        <f>J19/H19*100</f>
        <v>99.46595460614152</v>
      </c>
      <c r="K20" s="93">
        <f>K19/I19*100</f>
        <v>99.59839357429718</v>
      </c>
      <c r="L20" s="93">
        <f>L19/J19*100</f>
        <v>99.46308724832214</v>
      </c>
    </row>
    <row r="21" spans="2:12" ht="18.75">
      <c r="B21" s="12" t="s">
        <v>50</v>
      </c>
      <c r="C21" s="11" t="s">
        <v>48</v>
      </c>
      <c r="D21" s="92">
        <v>18.3</v>
      </c>
      <c r="E21" s="92">
        <f aca="true" t="shared" si="1" ref="E21:L21">E19/E13*1000</f>
        <v>17.76052693483886</v>
      </c>
      <c r="F21" s="92">
        <f t="shared" si="1"/>
        <v>17.86520324044378</v>
      </c>
      <c r="G21" s="93">
        <f t="shared" si="1"/>
        <v>17.993810129315516</v>
      </c>
      <c r="H21" s="93">
        <f t="shared" si="1"/>
        <v>17.966370025666244</v>
      </c>
      <c r="I21" s="93">
        <f t="shared" si="1"/>
        <v>18.096368613580758</v>
      </c>
      <c r="J21" s="93">
        <f t="shared" si="1"/>
        <v>18.03786741562152</v>
      </c>
      <c r="K21" s="93">
        <f t="shared" si="1"/>
        <v>18.196492772763957</v>
      </c>
      <c r="L21" s="93">
        <f t="shared" si="1"/>
        <v>18.101868816416268</v>
      </c>
    </row>
    <row r="22" spans="2:12" ht="18.75">
      <c r="B22" s="90" t="s">
        <v>51</v>
      </c>
      <c r="C22" s="11" t="s">
        <v>30</v>
      </c>
      <c r="D22" s="95">
        <v>-0.328</v>
      </c>
      <c r="E22" s="95">
        <f>E16-E19</f>
        <v>-0.34600000000000003</v>
      </c>
      <c r="F22" s="95">
        <f aca="true" t="shared" si="2" ref="F22:L22">F16-F19</f>
        <v>-0.342</v>
      </c>
      <c r="G22" s="96">
        <f t="shared" si="2"/>
        <v>-0.338</v>
      </c>
      <c r="H22" s="96">
        <f t="shared" si="2"/>
        <v>-0.336</v>
      </c>
      <c r="I22" s="96">
        <f t="shared" si="2"/>
        <v>-0.332</v>
      </c>
      <c r="J22" s="96">
        <f t="shared" si="2"/>
        <v>-0.327</v>
      </c>
      <c r="K22" s="96">
        <f t="shared" si="2"/>
        <v>-0.324</v>
      </c>
      <c r="L22" s="96">
        <f t="shared" si="2"/>
        <v>-0.317</v>
      </c>
    </row>
    <row r="23" spans="2:12" ht="18.75">
      <c r="B23" s="90"/>
      <c r="C23" s="11" t="s">
        <v>43</v>
      </c>
      <c r="D23" s="92">
        <v>103.8</v>
      </c>
      <c r="E23" s="92">
        <f>E22/D22*100</f>
        <v>105.48780487804879</v>
      </c>
      <c r="F23" s="92">
        <f>F22/E22*100</f>
        <v>98.84393063583815</v>
      </c>
      <c r="G23" s="93">
        <f>G22/F22*100</f>
        <v>98.83040935672514</v>
      </c>
      <c r="H23" s="93">
        <v>98.2</v>
      </c>
      <c r="I23" s="93">
        <v>98.5</v>
      </c>
      <c r="J23" s="93">
        <v>97.6</v>
      </c>
      <c r="K23" s="93">
        <v>97.5</v>
      </c>
      <c r="L23" s="93">
        <v>96.9</v>
      </c>
    </row>
    <row r="24" spans="2:13" ht="18.75">
      <c r="B24" s="12" t="s">
        <v>52</v>
      </c>
      <c r="C24" s="11" t="s">
        <v>48</v>
      </c>
      <c r="D24" s="92">
        <v>-7.6</v>
      </c>
      <c r="E24" s="92">
        <f>'[1]форма 2п моно'!E20</f>
        <v>-8.139261350270527</v>
      </c>
      <c r="F24" s="92">
        <f>'[1]форма 2п моно'!F20</f>
        <v>-8.124866367329487</v>
      </c>
      <c r="G24" s="93">
        <f>'[1]форма 2п моно'!$G20</f>
        <v>-8.109210431611526</v>
      </c>
      <c r="H24" s="93">
        <f>'[1]форма 2п моно'!$H20</f>
        <v>-8.05968001151383</v>
      </c>
      <c r="I24" s="93">
        <f>'[1]форма 2п моно'!I20</f>
        <v>-8.04283049492478</v>
      </c>
      <c r="J24" s="93">
        <f>'[1]форма 2п моно'!J20</f>
        <v>-7.917292140816426</v>
      </c>
      <c r="K24" s="93">
        <f>'[1]форма 2п моно'!K20</f>
        <v>-7.924279110719788</v>
      </c>
      <c r="L24" s="93">
        <f>'[1]форма 2п моно'!L20</f>
        <v>-7.7439843654574325</v>
      </c>
      <c r="M24" s="4"/>
    </row>
    <row r="25" spans="2:12" ht="18.75">
      <c r="B25" s="90" t="s">
        <v>53</v>
      </c>
      <c r="C25" s="11" t="s">
        <v>30</v>
      </c>
      <c r="D25" s="97"/>
      <c r="E25" s="97"/>
      <c r="F25" s="97"/>
      <c r="G25" s="97"/>
      <c r="H25" s="97"/>
      <c r="I25" s="97"/>
      <c r="J25" s="97"/>
      <c r="K25" s="97"/>
      <c r="L25" s="98"/>
    </row>
    <row r="26" spans="2:15" ht="40.5" customHeight="1">
      <c r="B26" s="90"/>
      <c r="C26" s="11" t="s">
        <v>54</v>
      </c>
      <c r="D26" s="95">
        <v>1.551</v>
      </c>
      <c r="E26" s="95">
        <v>1.675</v>
      </c>
      <c r="F26" s="95">
        <v>1.435</v>
      </c>
      <c r="G26" s="95">
        <v>1.437</v>
      </c>
      <c r="H26" s="95">
        <v>1.441</v>
      </c>
      <c r="I26" s="95">
        <v>1.438</v>
      </c>
      <c r="J26" s="95">
        <v>1.445</v>
      </c>
      <c r="K26" s="95">
        <v>1.439</v>
      </c>
      <c r="L26" s="95">
        <v>1.45</v>
      </c>
      <c r="N26" s="6">
        <f>K26/F26*100</f>
        <v>100.27874564459931</v>
      </c>
      <c r="O26" s="6">
        <f>L26/F26*100</f>
        <v>101.04529616724737</v>
      </c>
    </row>
    <row r="27" spans="2:15" ht="40.5" customHeight="1">
      <c r="B27" s="90"/>
      <c r="C27" s="11" t="s">
        <v>55</v>
      </c>
      <c r="D27" s="95">
        <v>1.716</v>
      </c>
      <c r="E27" s="95">
        <v>1.729</v>
      </c>
      <c r="F27" s="95">
        <v>1.51</v>
      </c>
      <c r="G27" s="95">
        <v>1.511</v>
      </c>
      <c r="H27" s="95">
        <v>1.509</v>
      </c>
      <c r="I27" s="95">
        <v>1.508</v>
      </c>
      <c r="J27" s="95">
        <v>1.505</v>
      </c>
      <c r="K27" s="95">
        <v>1.507</v>
      </c>
      <c r="L27" s="95">
        <v>1.5</v>
      </c>
      <c r="N27" s="6">
        <f>K27/E27*100-100</f>
        <v>-12.839791787160209</v>
      </c>
      <c r="O27" s="6">
        <f>L27/E27*100-100</f>
        <v>-13.244650086755342</v>
      </c>
    </row>
    <row r="28" spans="2:12" ht="18.75">
      <c r="B28" s="90"/>
      <c r="C28" s="11" t="s">
        <v>43</v>
      </c>
      <c r="D28" s="92"/>
      <c r="E28" s="98"/>
      <c r="F28" s="93"/>
      <c r="G28" s="93"/>
      <c r="H28" s="93"/>
      <c r="I28" s="93"/>
      <c r="J28" s="93"/>
      <c r="K28" s="93"/>
      <c r="L28" s="93"/>
    </row>
    <row r="29" spans="2:12" ht="18.75">
      <c r="B29" s="90"/>
      <c r="C29" s="11" t="s">
        <v>54</v>
      </c>
      <c r="D29" s="92">
        <v>104.9</v>
      </c>
      <c r="E29" s="92">
        <f aca="true" t="shared" si="3" ref="E29:G30">E26/D26*100</f>
        <v>107.99484203739524</v>
      </c>
      <c r="F29" s="92">
        <f t="shared" si="3"/>
        <v>85.67164179104478</v>
      </c>
      <c r="G29" s="92">
        <f t="shared" si="3"/>
        <v>100.13937282229965</v>
      </c>
      <c r="H29" s="92">
        <f aca="true" t="shared" si="4" ref="H29:L30">H26/F26*100</f>
        <v>100.41811846689896</v>
      </c>
      <c r="I29" s="92">
        <f t="shared" si="4"/>
        <v>100.06958942240777</v>
      </c>
      <c r="J29" s="92">
        <f t="shared" si="4"/>
        <v>100.27758501040944</v>
      </c>
      <c r="K29" s="92">
        <f t="shared" si="4"/>
        <v>100.06954102920724</v>
      </c>
      <c r="L29" s="92">
        <f t="shared" si="4"/>
        <v>100.34602076124565</v>
      </c>
    </row>
    <row r="30" spans="2:12" ht="18.75">
      <c r="B30" s="90"/>
      <c r="C30" s="11" t="s">
        <v>55</v>
      </c>
      <c r="D30" s="92">
        <v>103.9</v>
      </c>
      <c r="E30" s="92">
        <f t="shared" si="3"/>
        <v>100.75757575757575</v>
      </c>
      <c r="F30" s="92">
        <f t="shared" si="3"/>
        <v>87.33371891266628</v>
      </c>
      <c r="G30" s="92">
        <f t="shared" si="3"/>
        <v>100.06622516556291</v>
      </c>
      <c r="H30" s="92">
        <f t="shared" si="4"/>
        <v>99.93377483443709</v>
      </c>
      <c r="I30" s="92">
        <f t="shared" si="4"/>
        <v>99.801455989411</v>
      </c>
      <c r="J30" s="92">
        <f t="shared" si="4"/>
        <v>99.73492379058979</v>
      </c>
      <c r="K30" s="92">
        <f t="shared" si="4"/>
        <v>99.93368700265252</v>
      </c>
      <c r="L30" s="92">
        <f t="shared" si="4"/>
        <v>99.66777408637874</v>
      </c>
    </row>
    <row r="31" spans="2:12" ht="18.75">
      <c r="B31" s="90" t="s">
        <v>56</v>
      </c>
      <c r="C31" s="11" t="s">
        <v>30</v>
      </c>
      <c r="D31" s="92">
        <v>-0.165</v>
      </c>
      <c r="E31" s="95">
        <f aca="true" t="shared" si="5" ref="E31:L31">E26-E27</f>
        <v>-0.05400000000000005</v>
      </c>
      <c r="F31" s="95">
        <f t="shared" si="5"/>
        <v>-0.07499999999999996</v>
      </c>
      <c r="G31" s="95">
        <f t="shared" si="5"/>
        <v>-0.07399999999999984</v>
      </c>
      <c r="H31" s="95">
        <f t="shared" si="5"/>
        <v>-0.06799999999999984</v>
      </c>
      <c r="I31" s="95">
        <f t="shared" si="5"/>
        <v>-0.07000000000000006</v>
      </c>
      <c r="J31" s="95">
        <f t="shared" si="5"/>
        <v>-0.05999999999999983</v>
      </c>
      <c r="K31" s="95">
        <f t="shared" si="5"/>
        <v>-0.06799999999999984</v>
      </c>
      <c r="L31" s="95">
        <f t="shared" si="5"/>
        <v>-0.050000000000000044</v>
      </c>
    </row>
    <row r="32" spans="2:12" ht="18.75">
      <c r="B32" s="90"/>
      <c r="C32" s="11" t="s">
        <v>43</v>
      </c>
      <c r="D32" s="92" t="s">
        <v>141</v>
      </c>
      <c r="E32" s="92">
        <f>E31/D31*100</f>
        <v>32.727272727272755</v>
      </c>
      <c r="F32" s="92">
        <f>F31/E31*100</f>
        <v>138.8888888888887</v>
      </c>
      <c r="G32" s="92">
        <f>G31/F31*100</f>
        <v>98.66666666666652</v>
      </c>
      <c r="H32" s="92">
        <f>H31/F31*100</f>
        <v>90.6666666666665</v>
      </c>
      <c r="I32" s="92">
        <f>I31/G31*100</f>
        <v>94.59459459459488</v>
      </c>
      <c r="J32" s="92">
        <f>J31/H31*100</f>
        <v>88.23529411764703</v>
      </c>
      <c r="K32" s="92">
        <f>K31/I31*100</f>
        <v>97.14285714285683</v>
      </c>
      <c r="L32" s="92">
        <f>L31/J31*100</f>
        <v>83.33333333333364</v>
      </c>
    </row>
    <row r="33" spans="2:12" ht="18.75">
      <c r="B33" s="12" t="s">
        <v>38</v>
      </c>
      <c r="C33" s="11" t="s">
        <v>57</v>
      </c>
      <c r="D33" s="92">
        <v>-3.8</v>
      </c>
      <c r="E33" s="92">
        <f aca="true" t="shared" si="6" ref="E33:L33">E31/E13*1000</f>
        <v>-1.2702893436838403</v>
      </c>
      <c r="F33" s="92">
        <f t="shared" si="6"/>
        <v>-1.7817689402038335</v>
      </c>
      <c r="G33" s="92">
        <f t="shared" si="6"/>
        <v>-1.7753892660924606</v>
      </c>
      <c r="H33" s="92">
        <f t="shared" si="6"/>
        <v>-1.6311257166158901</v>
      </c>
      <c r="I33" s="92">
        <f t="shared" si="6"/>
        <v>-1.695777513990166</v>
      </c>
      <c r="J33" s="92">
        <f t="shared" si="6"/>
        <v>-1.4527141542782391</v>
      </c>
      <c r="K33" s="92">
        <f t="shared" si="6"/>
        <v>-1.6631203071880998</v>
      </c>
      <c r="L33" s="92">
        <f t="shared" si="6"/>
        <v>-1.2214486380847696</v>
      </c>
    </row>
    <row r="34" spans="2:12" ht="18.75">
      <c r="B34" s="13" t="s">
        <v>58</v>
      </c>
      <c r="C34" s="11"/>
      <c r="D34" s="92"/>
      <c r="E34" s="93"/>
      <c r="F34" s="93"/>
      <c r="G34" s="93"/>
      <c r="H34" s="93"/>
      <c r="I34" s="93"/>
      <c r="J34" s="93"/>
      <c r="K34" s="93"/>
      <c r="L34" s="93"/>
    </row>
    <row r="35" spans="2:16" ht="18.75">
      <c r="B35" s="12" t="s">
        <v>59</v>
      </c>
      <c r="C35" s="11" t="s">
        <v>108</v>
      </c>
      <c r="D35" s="92">
        <v>11314.928536000001</v>
      </c>
      <c r="E35" s="92">
        <f>'[2]ден.дох'!I$18</f>
        <v>12203.38343</v>
      </c>
      <c r="F35" s="92">
        <f>'[2]ден.дох'!J$18</f>
        <v>12700.378488676</v>
      </c>
      <c r="G35" s="93">
        <f>'[2]ден.дох'!K$18</f>
        <v>13119.39894850614</v>
      </c>
      <c r="H35" s="93">
        <f>'[2]ден.дох'!L$18</f>
        <v>13191.17973581628</v>
      </c>
      <c r="I35" s="93">
        <f>'[2]ден.дох'!N$18</f>
        <v>13593.462089061733</v>
      </c>
      <c r="J35" s="93">
        <f>'[2]ден.дох'!O$18</f>
        <v>13752.861325475047</v>
      </c>
      <c r="K35" s="93">
        <f>'[2]ден.дох'!Q$18</f>
        <v>14103.204004947656</v>
      </c>
      <c r="L35" s="93">
        <f>'[2]ден.дох'!R$18</f>
        <v>14355.507247564974</v>
      </c>
      <c r="N35" s="6">
        <f>F35/E35*100</f>
        <v>104.0726005335063</v>
      </c>
      <c r="O35" s="6">
        <f>K35/E35*100</f>
        <v>115.56798232101157</v>
      </c>
      <c r="P35" s="6">
        <f>L35/E35*100</f>
        <v>117.63546831016008</v>
      </c>
    </row>
    <row r="36" spans="2:12" ht="18.75">
      <c r="B36" s="12" t="s">
        <v>60</v>
      </c>
      <c r="C36" s="11" t="s">
        <v>37</v>
      </c>
      <c r="D36" s="92">
        <v>90.4</v>
      </c>
      <c r="E36" s="92">
        <f>E35/D35*100</f>
        <v>107.85205926111911</v>
      </c>
      <c r="F36" s="92">
        <f>F35/E35*100</f>
        <v>104.0726005335063</v>
      </c>
      <c r="G36" s="92">
        <f>G35/F35*100</f>
        <v>103.29927537359418</v>
      </c>
      <c r="H36" s="92">
        <f>H35/F35*100</f>
        <v>103.86446157945521</v>
      </c>
      <c r="I36" s="92">
        <f>I35/G35*100</f>
        <v>103.61345167119546</v>
      </c>
      <c r="J36" s="92">
        <f>J35/H35*100</f>
        <v>104.25800876728036</v>
      </c>
      <c r="K36" s="92">
        <f>K35/I35*100</f>
        <v>103.74990500982157</v>
      </c>
      <c r="L36" s="92">
        <f>L35/J35*100</f>
        <v>104.38196756171475</v>
      </c>
    </row>
    <row r="37" spans="2:12" ht="18.75">
      <c r="B37" s="12" t="s">
        <v>61</v>
      </c>
      <c r="C37" s="11" t="s">
        <v>62</v>
      </c>
      <c r="D37" s="92">
        <v>21948.573355058972</v>
      </c>
      <c r="E37" s="92">
        <f>'[2]ден.дох'!I$31</f>
        <v>23922.573962989103</v>
      </c>
      <c r="F37" s="92">
        <f>'[2]ден.дох'!J$31</f>
        <v>25143.488799950905</v>
      </c>
      <c r="G37" s="92">
        <f>'[2]ден.дох'!K$31</f>
        <v>26229.774854462346</v>
      </c>
      <c r="H37" s="92">
        <f>'[2]ден.дох'!L$31</f>
        <v>26368.226102441655</v>
      </c>
      <c r="I37" s="93">
        <f>'[2]ден.дох'!N$31</f>
        <v>27442.2468427484</v>
      </c>
      <c r="J37" s="93">
        <f>'[2]ден.дох'!O$31</f>
        <v>27748.578207421444</v>
      </c>
      <c r="K37" s="93">
        <f>'[2]ден.дох'!Q$31</f>
        <v>28744.270805202257</v>
      </c>
      <c r="L37" s="93">
        <f>'[2]ден.дох'!R$31</f>
        <v>29224.1912942571</v>
      </c>
    </row>
    <row r="38" spans="2:16" ht="18.75">
      <c r="B38" s="90" t="s">
        <v>63</v>
      </c>
      <c r="C38" s="11" t="s">
        <v>108</v>
      </c>
      <c r="D38" s="92">
        <v>3633.114</v>
      </c>
      <c r="E38" s="92">
        <f>'[2]ден.дох'!I$21</f>
        <v>4268.5</v>
      </c>
      <c r="F38" s="92">
        <f>'[2]ден.дох'!J$21</f>
        <v>4528.8785</v>
      </c>
      <c r="G38" s="92">
        <f>'[2]ден.дох'!K$21</f>
        <v>4782.495696</v>
      </c>
      <c r="H38" s="92">
        <f>'[2]ден.дох'!L$21</f>
        <v>4791.553453</v>
      </c>
      <c r="I38" s="93">
        <f>'[2]ден.дох'!N$21</f>
        <v>5083.7929248479995</v>
      </c>
      <c r="J38" s="93">
        <f>'[2]ден.дох'!O$21</f>
        <v>5117.379087804001</v>
      </c>
      <c r="K38" s="93">
        <f>'[2]ден.дох'!Q$21</f>
        <v>5414.23946496312</v>
      </c>
      <c r="L38" s="93">
        <f>'[2]ден.дох'!R$21</f>
        <v>5465.360865774674</v>
      </c>
      <c r="N38" s="29">
        <f>F38/E38*100</f>
        <v>106.1</v>
      </c>
      <c r="O38" s="6">
        <f>K38/E38*100</f>
        <v>126.84173515199998</v>
      </c>
      <c r="P38" s="6">
        <f>L38/E38*100</f>
        <v>128.03937837120003</v>
      </c>
    </row>
    <row r="39" spans="2:12" ht="18.75">
      <c r="B39" s="90"/>
      <c r="C39" s="11" t="s">
        <v>43</v>
      </c>
      <c r="D39" s="99">
        <v>103.5</v>
      </c>
      <c r="E39" s="92">
        <f>E38/D38*100</f>
        <v>117.48874381591108</v>
      </c>
      <c r="F39" s="92">
        <f>F38/E38*100</f>
        <v>106.1</v>
      </c>
      <c r="G39" s="92">
        <f>G38/F38*100</f>
        <v>105.60000000000001</v>
      </c>
      <c r="H39" s="92">
        <f>H38/F38*100</f>
        <v>105.80000000000001</v>
      </c>
      <c r="I39" s="92">
        <f>I38/G38*100</f>
        <v>106.3</v>
      </c>
      <c r="J39" s="92">
        <f>J38/H38*100</f>
        <v>106.80000000000001</v>
      </c>
      <c r="K39" s="92">
        <f>K38/I38*100</f>
        <v>106.5</v>
      </c>
      <c r="L39" s="92">
        <f>L38/J38*100</f>
        <v>106.80000000000001</v>
      </c>
    </row>
    <row r="40" spans="2:12" ht="18.75">
      <c r="B40" s="12" t="s">
        <v>64</v>
      </c>
      <c r="C40" s="11" t="s">
        <v>108</v>
      </c>
      <c r="D40" s="92">
        <v>11259.74172</v>
      </c>
      <c r="E40" s="92">
        <f>'[2]ден.дох'!I$36</f>
        <v>12147.21500472</v>
      </c>
      <c r="F40" s="92">
        <f>'[2]ден.дох'!J$36</f>
        <v>12643.119114842719</v>
      </c>
      <c r="G40" s="92">
        <f>'[2]ден.дох'!K$36</f>
        <v>13061.778296434113</v>
      </c>
      <c r="H40" s="92">
        <f>'[2]ден.дох'!L$36</f>
        <v>13133.230117666113</v>
      </c>
      <c r="I40" s="93">
        <f>'[2]ден.дох'!N$36</f>
        <v>13535.339338997037</v>
      </c>
      <c r="J40" s="93">
        <f>'[2]ден.дох'!O$36</f>
        <v>13690.170570646298</v>
      </c>
      <c r="K40" s="93">
        <f>'[2]ден.дох'!Q$36</f>
        <v>14041.61155520093</v>
      </c>
      <c r="L40" s="93">
        <f>'[2]ден.дох'!R$36</f>
        <v>14291.37739347215</v>
      </c>
    </row>
    <row r="41" spans="2:12" ht="37.5">
      <c r="B41" s="12" t="s">
        <v>65</v>
      </c>
      <c r="C41" s="11" t="s">
        <v>108</v>
      </c>
      <c r="D41" s="92">
        <v>55.18681600000127</v>
      </c>
      <c r="E41" s="92">
        <f>'[2]ден.дох'!I$42</f>
        <v>56.16842528000052</v>
      </c>
      <c r="F41" s="92">
        <f>'[2]ден.дох'!J$42</f>
        <v>57.25937383328164</v>
      </c>
      <c r="G41" s="92">
        <f>'[2]ден.дох'!K$42</f>
        <v>57.62065207202613</v>
      </c>
      <c r="H41" s="92">
        <f>'[2]ден.дох'!L$42</f>
        <v>57.949618150167225</v>
      </c>
      <c r="I41" s="93">
        <f>'[2]ден.дох'!N$42</f>
        <v>58.12275006469645</v>
      </c>
      <c r="J41" s="93">
        <f>'[2]ден.дох'!O$42</f>
        <v>62.69075482874905</v>
      </c>
      <c r="K41" s="93">
        <f>'[2]ден.дох'!Q$42</f>
        <v>61.59244974672583</v>
      </c>
      <c r="L41" s="93">
        <f>'[2]ден.дох'!R$42</f>
        <v>64.12985409282373</v>
      </c>
    </row>
    <row r="42" spans="2:12" ht="37.5">
      <c r="B42" s="12" t="s">
        <v>66</v>
      </c>
      <c r="C42" s="11" t="s">
        <v>5</v>
      </c>
      <c r="D42" s="92">
        <v>12408</v>
      </c>
      <c r="E42" s="92">
        <f>'[2]ден.дох'!I$34</f>
        <v>12623</v>
      </c>
      <c r="F42" s="92">
        <f>'[2]ден.дох'!J$34</f>
        <v>13280</v>
      </c>
      <c r="G42" s="92">
        <f>'[2]ден.дох'!K$34</f>
        <v>13718.24</v>
      </c>
      <c r="H42" s="92">
        <f>'[2]ден.дох'!L$34</f>
        <v>13731.52</v>
      </c>
      <c r="I42" s="100">
        <f>'[2]ден.дох'!N$34</f>
        <v>14143.505439999999</v>
      </c>
      <c r="J42" s="100">
        <f>'[2]ден.дох'!O$34</f>
        <v>14184.66016</v>
      </c>
      <c r="K42" s="100">
        <f>'[2]ден.дох'!Q$34</f>
        <v>14638.528130399998</v>
      </c>
      <c r="L42" s="100">
        <f>'[2]ден.дох'!R$34</f>
        <v>14666.93860544</v>
      </c>
    </row>
    <row r="43" spans="2:12" ht="37.5">
      <c r="B43" s="12" t="s">
        <v>67</v>
      </c>
      <c r="C43" s="11" t="s">
        <v>68</v>
      </c>
      <c r="D43" s="92">
        <v>15.079143389199254</v>
      </c>
      <c r="E43" s="92">
        <f>'[2]ден.дох'!I$35</f>
        <v>13.803810868031052</v>
      </c>
      <c r="F43" s="92">
        <f>'[2]ден.дох'!J$35</f>
        <v>12.125531561067163</v>
      </c>
      <c r="G43" s="92">
        <f>'[2]ден.дох'!K$35</f>
        <v>11.995873419543678</v>
      </c>
      <c r="H43" s="92">
        <f>'[2]ден.дох'!L$35</f>
        <v>11.87363573124805</v>
      </c>
      <c r="I43" s="93">
        <f>'[2]ден.дох'!N$35</f>
        <v>11.991569563216164</v>
      </c>
      <c r="J43" s="93">
        <f>'[2]ден.дох'!O$35</f>
        <v>11.621713234225945</v>
      </c>
      <c r="K43" s="93">
        <f>'[2]ден.дох'!Q$35</f>
        <v>11.739672756621909</v>
      </c>
      <c r="L43" s="93">
        <f>'[2]ден.дох'!R$35</f>
        <v>11.481617197996824</v>
      </c>
    </row>
    <row r="44" spans="2:14" ht="18.75">
      <c r="B44" s="90" t="s">
        <v>69</v>
      </c>
      <c r="C44" s="11" t="s">
        <v>5</v>
      </c>
      <c r="D44" s="92">
        <v>30700.3</v>
      </c>
      <c r="E44" s="92">
        <v>36107.4</v>
      </c>
      <c r="F44" s="92">
        <f>E44*1.011</f>
        <v>36504.581399999995</v>
      </c>
      <c r="G44" s="93">
        <f>F44*101.5/100</f>
        <v>37052.15012099999</v>
      </c>
      <c r="H44" s="93">
        <f>F44*102/100</f>
        <v>37234.673028</v>
      </c>
      <c r="I44" s="93">
        <f>G44*102.2/100</f>
        <v>37867.29742366199</v>
      </c>
      <c r="J44" s="93">
        <f>H44*102.7/100</f>
        <v>38240.009199755994</v>
      </c>
      <c r="K44" s="93">
        <f>I44*102.4/100</f>
        <v>38776.11256182988</v>
      </c>
      <c r="L44" s="93">
        <f>J44*102.7/100</f>
        <v>39272.48944814941</v>
      </c>
      <c r="N44" s="30" t="s">
        <v>143</v>
      </c>
    </row>
    <row r="45" spans="2:12" ht="18.75">
      <c r="B45" s="90"/>
      <c r="C45" s="11" t="s">
        <v>43</v>
      </c>
      <c r="D45" s="92">
        <v>102.9</v>
      </c>
      <c r="E45" s="92">
        <f>ROUND(E44/D44*100,1)</f>
        <v>117.6</v>
      </c>
      <c r="F45" s="92">
        <f>ROUND(F44/E44*100,1)</f>
        <v>101.1</v>
      </c>
      <c r="G45" s="93">
        <f>ROUND(G44/F44*100,1)</f>
        <v>101.5</v>
      </c>
      <c r="H45" s="93">
        <f>ROUND(H44/F44*100,1)</f>
        <v>102</v>
      </c>
      <c r="I45" s="93">
        <f>ROUND(I44/G44*100,1)</f>
        <v>102.2</v>
      </c>
      <c r="J45" s="93">
        <f>ROUND(J44/H44*100,1)</f>
        <v>102.7</v>
      </c>
      <c r="K45" s="93">
        <f>ROUND(K44/I44*100,1)</f>
        <v>102.4</v>
      </c>
      <c r="L45" s="93">
        <f>ROUND(L44/J44*100,1)</f>
        <v>102.7</v>
      </c>
    </row>
    <row r="46" spans="2:12" ht="18.75">
      <c r="B46" s="14" t="s">
        <v>70</v>
      </c>
      <c r="C46" s="11"/>
      <c r="D46" s="92"/>
      <c r="E46" s="93"/>
      <c r="F46" s="93"/>
      <c r="G46" s="93"/>
      <c r="H46" s="93"/>
      <c r="I46" s="93"/>
      <c r="J46" s="93"/>
      <c r="K46" s="93"/>
      <c r="L46" s="93"/>
    </row>
    <row r="47" spans="2:31" ht="18.75">
      <c r="B47" s="91" t="s">
        <v>71</v>
      </c>
      <c r="C47" s="3" t="s">
        <v>73</v>
      </c>
      <c r="D47" s="101">
        <f>'[1]форма 2п моно'!D$25</f>
        <v>16816</v>
      </c>
      <c r="E47" s="101">
        <f>'[1]форма 2п моно'!E$25</f>
        <v>16594</v>
      </c>
      <c r="F47" s="101">
        <f>'[1]форма 2п моно'!F$25</f>
        <v>16456</v>
      </c>
      <c r="G47" s="101">
        <f>'[1]форма 2п моно'!G$25</f>
        <v>16459</v>
      </c>
      <c r="H47" s="101">
        <f>'[1]форма 2п моно'!H$25</f>
        <v>16476</v>
      </c>
      <c r="I47" s="101">
        <f>'[1]форма 2п моно'!I$25</f>
        <v>16464</v>
      </c>
      <c r="J47" s="101">
        <f>'[1]форма 2п моно'!J$25</f>
        <v>16498</v>
      </c>
      <c r="K47" s="101">
        <f>'[1]форма 2п моно'!K$25</f>
        <v>16471</v>
      </c>
      <c r="L47" s="101">
        <f>'[1]форма 2п моно'!L$25</f>
        <v>16524</v>
      </c>
      <c r="O47" s="82" t="s">
        <v>123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</row>
    <row r="48" spans="2:12" ht="18.75">
      <c r="B48" s="91"/>
      <c r="C48" s="3" t="s">
        <v>43</v>
      </c>
      <c r="D48" s="92">
        <v>97.6</v>
      </c>
      <c r="E48" s="92">
        <f>ROUND(E47/D47*100,1)</f>
        <v>98.7</v>
      </c>
      <c r="F48" s="92">
        <f>ROUND(F47/E47*100,2)</f>
        <v>99.17</v>
      </c>
      <c r="G48" s="93">
        <f>ROUND(G47/F47*100,2)</f>
        <v>100.02</v>
      </c>
      <c r="H48" s="93">
        <f>ROUND(H47/F47*100,2)</f>
        <v>100.12</v>
      </c>
      <c r="I48" s="93">
        <f>ROUND(I47/G47*100,2)</f>
        <v>100.03</v>
      </c>
      <c r="J48" s="93">
        <f>ROUND(J47/H47*100,2)</f>
        <v>100.13</v>
      </c>
      <c r="K48" s="93">
        <f>ROUND(K47/I47*100,2)</f>
        <v>100.04</v>
      </c>
      <c r="L48" s="93">
        <f>ROUND(L47/J47*100,2)</f>
        <v>100.16</v>
      </c>
    </row>
    <row r="49" spans="2:12" ht="37.5">
      <c r="B49" s="15" t="s">
        <v>72</v>
      </c>
      <c r="C49" s="11" t="s">
        <v>73</v>
      </c>
      <c r="D49" s="101">
        <v>74</v>
      </c>
      <c r="E49" s="102">
        <v>0</v>
      </c>
      <c r="F49" s="101">
        <v>0</v>
      </c>
      <c r="G49" s="101">
        <v>0</v>
      </c>
      <c r="H49" s="101">
        <v>0</v>
      </c>
      <c r="I49" s="100">
        <v>0</v>
      </c>
      <c r="J49" s="100">
        <v>0</v>
      </c>
      <c r="K49" s="100">
        <v>0</v>
      </c>
      <c r="L49" s="100">
        <v>0</v>
      </c>
    </row>
    <row r="50" spans="2:12" ht="18.75">
      <c r="B50" s="14" t="s">
        <v>74</v>
      </c>
      <c r="C50" s="11"/>
      <c r="D50" s="92"/>
      <c r="E50" s="93"/>
      <c r="F50" s="93"/>
      <c r="G50" s="93"/>
      <c r="H50" s="93"/>
      <c r="I50" s="93"/>
      <c r="J50" s="93"/>
      <c r="K50" s="93"/>
      <c r="L50" s="93"/>
    </row>
    <row r="51" spans="2:12" ht="18.75">
      <c r="B51" s="12" t="s">
        <v>75</v>
      </c>
      <c r="C51" s="11" t="s">
        <v>73</v>
      </c>
      <c r="D51" s="101">
        <v>21173</v>
      </c>
      <c r="E51" s="101">
        <f>'[1]форма 2п моно'!E$32</f>
        <v>20728</v>
      </c>
      <c r="F51" s="101">
        <f>'[1]форма 2п моно'!F$32</f>
        <v>20458.536</v>
      </c>
      <c r="G51" s="101">
        <f>'[1]форма 2п моно'!G$32</f>
        <v>20229.4003968</v>
      </c>
      <c r="H51" s="101">
        <f>'[1]форма 2п моно'!H$32</f>
        <v>20247.8130792</v>
      </c>
      <c r="I51" s="101">
        <f>'[1]форма 2п моно'!I$32</f>
        <v>19992.71641215744</v>
      </c>
      <c r="J51" s="101">
        <f>'[1]форма 2п моно'!J$32</f>
        <v>20037.23582317632</v>
      </c>
      <c r="K51" s="101">
        <f>'[1]форма 2п моно'!K$32</f>
        <v>19780.79361818857</v>
      </c>
      <c r="L51" s="101">
        <f>'[1]форма 2п моно'!L$32</f>
        <v>19858.904424350054</v>
      </c>
    </row>
    <row r="52" spans="2:15" ht="18.75">
      <c r="B52" s="12" t="s">
        <v>76</v>
      </c>
      <c r="C52" s="11" t="s">
        <v>73</v>
      </c>
      <c r="D52" s="101">
        <v>518.256</v>
      </c>
      <c r="E52" s="101">
        <f>'[2]трудовые ресурсы'!$I$7</f>
        <v>479.15</v>
      </c>
      <c r="F52" s="101">
        <f>'[2]трудовые ресурсы'!$I$9</f>
        <v>466</v>
      </c>
      <c r="G52" s="100">
        <f>'[2]трудовые ресурсы'!$I$11</f>
        <v>465</v>
      </c>
      <c r="H52" s="100">
        <f>'[2]трудовые ресурсы'!$I$12</f>
        <v>462</v>
      </c>
      <c r="I52" s="100">
        <f>'[2]трудовые ресурсы'!$I$14</f>
        <v>464</v>
      </c>
      <c r="J52" s="100">
        <f>'[2]трудовые ресурсы'!$I$15</f>
        <v>458</v>
      </c>
      <c r="K52" s="100">
        <f>'[2]трудовые ресурсы'!$I$17</f>
        <v>463</v>
      </c>
      <c r="L52" s="100">
        <f>'[2]трудовые ресурсы'!$I$18</f>
        <v>445</v>
      </c>
      <c r="O52" s="30" t="s">
        <v>144</v>
      </c>
    </row>
    <row r="53" spans="2:15" ht="37.5">
      <c r="B53" s="12" t="s">
        <v>77</v>
      </c>
      <c r="C53" s="11" t="s">
        <v>73</v>
      </c>
      <c r="D53" s="101">
        <v>342</v>
      </c>
      <c r="E53" s="101">
        <f>'[1]форма 2п моно'!E$36</f>
        <v>232</v>
      </c>
      <c r="F53" s="101">
        <f>'[1]форма 2п моно'!F$36</f>
        <v>260</v>
      </c>
      <c r="G53" s="101">
        <f>'[1]форма 2п моно'!G$36</f>
        <v>259</v>
      </c>
      <c r="H53" s="101">
        <f>'[1]форма 2п моно'!H$36</f>
        <v>250</v>
      </c>
      <c r="I53" s="101">
        <f>'[1]форма 2п моно'!I$36</f>
        <v>255</v>
      </c>
      <c r="J53" s="101">
        <f>'[1]форма 2п моно'!J$36</f>
        <v>245</v>
      </c>
      <c r="K53" s="101">
        <f>'[1]форма 2п моно'!K$36</f>
        <v>250</v>
      </c>
      <c r="L53" s="101">
        <f>'[1]форма 2п моно'!L$36</f>
        <v>240</v>
      </c>
      <c r="O53" s="30" t="s">
        <v>138</v>
      </c>
    </row>
    <row r="54" spans="2:12" ht="37.5">
      <c r="B54" s="16" t="s">
        <v>78</v>
      </c>
      <c r="C54" s="17" t="s">
        <v>2</v>
      </c>
      <c r="D54" s="92">
        <v>2.198142257284642</v>
      </c>
      <c r="E54" s="92">
        <f>E52/'[1]форма 2п моно'!E$35*100</f>
        <v>2.065301724137931</v>
      </c>
      <c r="F54" s="92">
        <f>F52/'[1]форма 2п моно'!F$35*100</f>
        <v>2.022042870780179</v>
      </c>
      <c r="G54" s="92">
        <f>G52/'[1]форма 2п моно'!G$35*100</f>
        <v>2.0422504282137997</v>
      </c>
      <c r="H54" s="92">
        <f>H52/'[1]форма 2п моно'!H$35*100</f>
        <v>2.014739871789281</v>
      </c>
      <c r="I54" s="92">
        <f>I52/'[1]форма 2п моно'!I$35*100</f>
        <v>2.062588904694168</v>
      </c>
      <c r="J54" s="92">
        <f>J52/'[1]форма 2п моно'!J$35*100</f>
        <v>2.007363253856943</v>
      </c>
      <c r="K54" s="92">
        <f>K52/'[1]форма 2п моно'!K$35*100</f>
        <v>2.0831458652029156</v>
      </c>
      <c r="L54" s="92">
        <f>L52/'[1]форма 2п моно'!L$35*100</f>
        <v>1.9601797198484716</v>
      </c>
    </row>
    <row r="55" spans="2:15" ht="56.25">
      <c r="B55" s="12" t="s">
        <v>79</v>
      </c>
      <c r="C55" s="11" t="s">
        <v>2</v>
      </c>
      <c r="D55" s="92">
        <v>1.5</v>
      </c>
      <c r="E55" s="92">
        <f>E53/'[1]форма 2п моно'!E$35*100</f>
        <v>1</v>
      </c>
      <c r="F55" s="92">
        <f>F53/'[1]форма 2п моно'!F$35*100</f>
        <v>1.1281784257571812</v>
      </c>
      <c r="G55" s="92">
        <f>G53/'[1]форма 2п моно'!G$35*100</f>
        <v>1.1375115288330624</v>
      </c>
      <c r="H55" s="92">
        <f>H53/'[1]форма 2п моно'!H$35*100</f>
        <v>1.090227203349178</v>
      </c>
      <c r="I55" s="92">
        <f>I53/'[1]форма 2п моно'!I$35*100</f>
        <v>1.133534850640114</v>
      </c>
      <c r="J55" s="92">
        <f>J53/'[1]форма 2п моно'!J$35*100</f>
        <v>1.0738078541374474</v>
      </c>
      <c r="K55" s="92">
        <f>K53/'[1]форма 2п моно'!K$35*100</f>
        <v>1.124808782506974</v>
      </c>
      <c r="L55" s="92">
        <f>L53/'[1]форма 2п моно'!L$35*100</f>
        <v>1.0571755792441195</v>
      </c>
      <c r="O55" s="30" t="s">
        <v>124</v>
      </c>
    </row>
    <row r="56" spans="2:28" ht="18.75">
      <c r="B56" s="10" t="s">
        <v>109</v>
      </c>
      <c r="C56" s="11"/>
      <c r="D56" s="92"/>
      <c r="E56" s="93"/>
      <c r="F56" s="93"/>
      <c r="G56" s="93"/>
      <c r="H56" s="93"/>
      <c r="I56" s="93"/>
      <c r="J56" s="93"/>
      <c r="K56" s="93"/>
      <c r="L56" s="93"/>
      <c r="N56" s="6">
        <v>16</v>
      </c>
      <c r="O56" s="6">
        <v>17</v>
      </c>
      <c r="P56" s="46">
        <v>18</v>
      </c>
      <c r="Q56" s="30" t="s">
        <v>125</v>
      </c>
      <c r="R56" s="30" t="s">
        <v>114</v>
      </c>
      <c r="S56" s="48" t="s">
        <v>126</v>
      </c>
      <c r="T56" s="30" t="s">
        <v>127</v>
      </c>
      <c r="U56" s="30" t="s">
        <v>115</v>
      </c>
      <c r="V56" s="48" t="s">
        <v>128</v>
      </c>
      <c r="W56" s="30" t="s">
        <v>129</v>
      </c>
      <c r="X56" s="30" t="s">
        <v>130</v>
      </c>
      <c r="Y56" s="48" t="s">
        <v>131</v>
      </c>
      <c r="Z56" s="30" t="s">
        <v>132</v>
      </c>
      <c r="AA56" s="30" t="s">
        <v>133</v>
      </c>
      <c r="AB56" s="48" t="s">
        <v>134</v>
      </c>
    </row>
    <row r="57" spans="2:30" ht="18.75">
      <c r="B57" s="90" t="s">
        <v>81</v>
      </c>
      <c r="C57" s="11" t="s">
        <v>4</v>
      </c>
      <c r="D57" s="92">
        <f>'[1]форма 2п моно'!D60</f>
        <v>6235.2</v>
      </c>
      <c r="E57" s="92">
        <f>'[1]форма 2п моно'!E60</f>
        <v>7846.4</v>
      </c>
      <c r="F57" s="92">
        <f>'[1]форма 2п моно'!F60</f>
        <v>8465.079</v>
      </c>
      <c r="G57" s="92">
        <f>'[1]форма 2п моно'!G60</f>
        <v>8852.7730428</v>
      </c>
      <c r="H57" s="92">
        <f>'[1]форма 2п моно'!H60</f>
        <v>8886.8996709</v>
      </c>
      <c r="I57" s="92">
        <f>'[1]форма 2п моно'!I60</f>
        <v>9222.5086767224</v>
      </c>
      <c r="J57" s="92">
        <f>'[1]форма 2п моно'!J60</f>
        <v>9282.1683586552</v>
      </c>
      <c r="K57" s="92">
        <f>'[1]форма 2п моно'!K60</f>
        <v>9625.756635861708</v>
      </c>
      <c r="L57" s="92">
        <f>'[1]форма 2п моно'!L60</f>
        <v>9701.115741979307</v>
      </c>
      <c r="N57" s="6">
        <v>6660.428</v>
      </c>
      <c r="O57" s="29">
        <f>N57/D57/1.098*100</f>
        <v>97.28578987245804</v>
      </c>
      <c r="P57" s="47">
        <f>E57/D57/1.151*100</f>
        <v>109.33135538108019</v>
      </c>
      <c r="Q57" s="29">
        <f>F57/E57/1.047*100</f>
        <v>103.04190748912063</v>
      </c>
      <c r="R57" s="29"/>
      <c r="S57" s="29"/>
      <c r="T57" s="29">
        <f>G57/F57/1.034*100</f>
        <v>101.14112410370342</v>
      </c>
      <c r="U57" s="29">
        <f>H57/F57/1.01*100</f>
        <v>103.94363201155625</v>
      </c>
      <c r="V57" s="47"/>
      <c r="W57" s="29">
        <f>I57/G57/1.046*100</f>
        <v>99.59511961548696</v>
      </c>
      <c r="X57" s="29">
        <f>J57/H57/1.039*100</f>
        <v>100.52720701639</v>
      </c>
      <c r="Y57" s="47"/>
      <c r="Z57" s="29">
        <f>K57/I57/1.045*100</f>
        <v>99.87792575890808</v>
      </c>
      <c r="AA57" s="29">
        <f>L57/J57/1.04*100</f>
        <v>100.49371596509991</v>
      </c>
      <c r="AB57" s="47"/>
      <c r="AD57" s="30" t="s">
        <v>135</v>
      </c>
    </row>
    <row r="58" spans="2:12" ht="37.5">
      <c r="B58" s="90"/>
      <c r="C58" s="18" t="s">
        <v>80</v>
      </c>
      <c r="D58" s="92">
        <v>97.28578987245804</v>
      </c>
      <c r="E58" s="92">
        <v>109.33135538108019</v>
      </c>
      <c r="F58" s="92">
        <v>103.04190748912063</v>
      </c>
      <c r="G58" s="92">
        <v>101.14112410370342</v>
      </c>
      <c r="H58" s="92">
        <v>103.94363201155625</v>
      </c>
      <c r="I58" s="92">
        <v>99.59511961548696</v>
      </c>
      <c r="J58" s="92">
        <v>100.52720701639</v>
      </c>
      <c r="K58" s="92">
        <v>99.87792575890808</v>
      </c>
      <c r="L58" s="92">
        <v>100.49371596509991</v>
      </c>
    </row>
    <row r="59" spans="2:12" ht="18.75">
      <c r="B59" s="19" t="s">
        <v>0</v>
      </c>
      <c r="C59" s="11"/>
      <c r="D59" s="92"/>
      <c r="E59" s="93"/>
      <c r="F59" s="93"/>
      <c r="G59" s="93"/>
      <c r="H59" s="93"/>
      <c r="I59" s="93"/>
      <c r="J59" s="93"/>
      <c r="K59" s="93"/>
      <c r="L59" s="93"/>
    </row>
    <row r="60" spans="2:28" ht="18.75">
      <c r="B60" s="90" t="s">
        <v>82</v>
      </c>
      <c r="C60" s="11" t="s">
        <v>4</v>
      </c>
      <c r="D60" s="92">
        <f>'[1]форма 2п моно'!D$63</f>
        <v>3067.2</v>
      </c>
      <c r="E60" s="92">
        <f>'[1]форма 2п моно'!E$63</f>
        <v>3682.4</v>
      </c>
      <c r="F60" s="92">
        <f>'[1]форма 2п моно'!F$63</f>
        <v>4069.052</v>
      </c>
      <c r="G60" s="92">
        <f>'[1]форма 2п моно'!G$63</f>
        <v>4276.573652</v>
      </c>
      <c r="H60" s="92">
        <f>'[1]форма 2п моно'!H$63</f>
        <v>4280.642704000001</v>
      </c>
      <c r="I60" s="92">
        <f>'[1]форма 2п моно'!I$63</f>
        <v>4460.466319036</v>
      </c>
      <c r="J60" s="92">
        <f>'[1]форма 2п моно'!J$63</f>
        <v>4477.552268384001</v>
      </c>
      <c r="K60" s="92">
        <f>'[1]форма 2п моно'!K$63</f>
        <v>4661.1873033926195</v>
      </c>
      <c r="L60" s="92">
        <f>'[1]форма 2п моно'!L$63</f>
        <v>4687.997224998048</v>
      </c>
      <c r="N60" s="6">
        <v>2911.402</v>
      </c>
      <c r="O60" s="29">
        <f>N60/D60/1.0959*100</f>
        <v>86.61421098976442</v>
      </c>
      <c r="P60" s="47">
        <f>E60/D60/1.069*100</f>
        <v>112.30812097753693</v>
      </c>
      <c r="Q60" s="29">
        <f>F60/E60/1.077*100</f>
        <v>102.59981429897864</v>
      </c>
      <c r="R60" s="29"/>
      <c r="S60" s="29"/>
      <c r="T60" s="29">
        <f>G60/F60/1.06*100</f>
        <v>99.1509433962264</v>
      </c>
      <c r="U60" s="29">
        <f>H60/F60/1.05*100</f>
        <v>100.19047619047619</v>
      </c>
      <c r="V60" s="47"/>
      <c r="W60" s="29">
        <f>I60/G60/1.056*100</f>
        <v>98.76893939393938</v>
      </c>
      <c r="X60" s="29">
        <f>J60/H60/1.051*100</f>
        <v>99.52426260704092</v>
      </c>
      <c r="Y60" s="47"/>
      <c r="Z60" s="29">
        <f>K60/I60/1.055*100</f>
        <v>99.0521327014218</v>
      </c>
      <c r="AA60" s="29">
        <f>L60/J60/1.053*100</f>
        <v>99.43019943019942</v>
      </c>
      <c r="AB60" s="29"/>
    </row>
    <row r="61" spans="2:12" ht="37.5">
      <c r="B61" s="90"/>
      <c r="C61" s="18" t="s">
        <v>80</v>
      </c>
      <c r="D61" s="92">
        <v>86.61421098976442</v>
      </c>
      <c r="E61" s="92">
        <v>112.30812097753693</v>
      </c>
      <c r="F61" s="92">
        <v>102.59981429897864</v>
      </c>
      <c r="G61" s="93">
        <v>99.1509433962264</v>
      </c>
      <c r="H61" s="93">
        <v>100.19047619047619</v>
      </c>
      <c r="I61" s="93">
        <v>98.76893939393938</v>
      </c>
      <c r="J61" s="93">
        <v>99.52426260704092</v>
      </c>
      <c r="K61" s="93">
        <v>99.0521327014218</v>
      </c>
      <c r="L61" s="93">
        <v>99.43019943019942</v>
      </c>
    </row>
    <row r="62" spans="2:28" ht="18.75">
      <c r="B62" s="90" t="s">
        <v>83</v>
      </c>
      <c r="C62" s="11" t="s">
        <v>4</v>
      </c>
      <c r="D62" s="92">
        <f>'[1]форма 2п моно'!D$65</f>
        <v>2653.9</v>
      </c>
      <c r="E62" s="92">
        <f>'[1]форма 2п моно'!E$65</f>
        <v>3632.1</v>
      </c>
      <c r="F62" s="92">
        <f>'[1]форма 2п моно'!F$65</f>
        <v>3837.8141</v>
      </c>
      <c r="G62" s="92">
        <f>'[1]форма 2п моно'!G$65</f>
        <v>3995.6579748000004</v>
      </c>
      <c r="H62" s="92">
        <f>'[1]форма 2п моно'!H$65</f>
        <v>4024.1948322000003</v>
      </c>
      <c r="I62" s="92">
        <f>'[1]форма 2п моно'!I$65</f>
        <v>4158.3593234464</v>
      </c>
      <c r="J62" s="92">
        <f>'[1]форма 2п моно'!J$65</f>
        <v>4199.271470183201</v>
      </c>
      <c r="K62" s="92">
        <f>'[1]форма 2п моно'!K$65</f>
        <v>4336.822136757088</v>
      </c>
      <c r="L62" s="92">
        <f>'[1]форма 2п моно'!L$65</f>
        <v>4383.56011208974</v>
      </c>
      <c r="N62" s="6">
        <v>3104.6850000000004</v>
      </c>
      <c r="O62" s="29">
        <f>N62/D62/1.081*100</f>
        <v>108.21994154554244</v>
      </c>
      <c r="P62" s="47">
        <f>E62/D62/1.123*100</f>
        <v>121.86906703644232</v>
      </c>
      <c r="Q62" s="29">
        <f>F62/E62/1.046*100</f>
        <v>101.01699668291282</v>
      </c>
      <c r="R62" s="29"/>
      <c r="S62" s="29"/>
      <c r="T62" s="29">
        <f>G62/F62/1.036*100</f>
        <v>100.49503744822911</v>
      </c>
      <c r="U62" s="29">
        <f>H62/F62/1.027*100</f>
        <v>102.09973651234927</v>
      </c>
      <c r="V62" s="47"/>
      <c r="W62" s="29">
        <f>I62/G62/1.049*100</f>
        <v>99.21063283862249</v>
      </c>
      <c r="X62" s="29">
        <f>J62/H62/1.039*100</f>
        <v>100.43368665802717</v>
      </c>
      <c r="Y62" s="47"/>
      <c r="Z62" s="29">
        <f>K62/I62/1.048*100</f>
        <v>99.51494663913341</v>
      </c>
      <c r="AA62" s="29">
        <f>L62/J62/1.041*100</f>
        <v>100.27722002800519</v>
      </c>
      <c r="AB62" s="29"/>
    </row>
    <row r="63" spans="2:12" ht="37.5">
      <c r="B63" s="90"/>
      <c r="C63" s="18" t="s">
        <v>80</v>
      </c>
      <c r="D63" s="92">
        <v>108.21994154554244</v>
      </c>
      <c r="E63" s="92">
        <v>121.86906703644232</v>
      </c>
      <c r="F63" s="92">
        <v>101.01699668291282</v>
      </c>
      <c r="G63" s="93">
        <v>100.49503744822911</v>
      </c>
      <c r="H63" s="93">
        <v>102.09973651234927</v>
      </c>
      <c r="I63" s="93">
        <v>99.21063283862249</v>
      </c>
      <c r="J63" s="93">
        <v>100.43368665802717</v>
      </c>
      <c r="K63" s="93">
        <v>99.51494663913341</v>
      </c>
      <c r="L63" s="93">
        <v>100.27722002800519</v>
      </c>
    </row>
    <row r="64" spans="2:28" ht="18.75">
      <c r="B64" s="90" t="s">
        <v>84</v>
      </c>
      <c r="C64" s="11" t="s">
        <v>4</v>
      </c>
      <c r="D64" s="92">
        <f>'[1]форма 2п моно'!D$67+'[1]форма 2п моно'!D$69</f>
        <v>514.1</v>
      </c>
      <c r="E64" s="92">
        <f>'[1]форма 2п моно'!E$67+'[1]форма 2п моно'!E$69</f>
        <v>531.9</v>
      </c>
      <c r="F64" s="92">
        <f>'[1]форма 2п моно'!F$67+'[1]форма 2п моно'!F$69</f>
        <v>558.2129</v>
      </c>
      <c r="G64" s="92">
        <f>'[1]форма 2п моно'!G$67+'[1]форма 2п моно'!G$69</f>
        <v>580.5414159999999</v>
      </c>
      <c r="H64" s="92">
        <f>'[1]форма 2п моно'!H$67+'[1]форма 2п моно'!H$69</f>
        <v>582.0621346999999</v>
      </c>
      <c r="I64" s="92">
        <f>'[1]форма 2п моно'!I$67+'[1]форма 2п моно'!I$69</f>
        <v>603.68303424</v>
      </c>
      <c r="J64" s="92">
        <f>'[1]форма 2п моно'!J$67+'[1]форма 2п моно'!J$69</f>
        <v>605.3446200879999</v>
      </c>
      <c r="K64" s="92">
        <f>'[1]форма 2п моно'!K$67+'[1]форма 2п моно'!K$69</f>
        <v>627.747195712</v>
      </c>
      <c r="L64" s="92">
        <f>'[1]форма 2п моно'!L$67+'[1]форма 2п моно'!L$69</f>
        <v>629.55840489152</v>
      </c>
      <c r="N64" s="6">
        <v>644.341</v>
      </c>
      <c r="O64" s="29">
        <f>('[1]форма 2п моно'!$D$67/531.2/1.069+'[1]форма 2п моно'!$D$69/71.4/1.157)/2*100</f>
        <v>83.6435555013268</v>
      </c>
      <c r="P64" s="47">
        <f>('[1]форма 2п моно'!$E$67/'[1]форма 2п моно'!$D$67/1.039+'[1]форма 2п моно'!$E$69/'[1]форма 2п моно'!$D$69/1.101)/2*100</f>
        <v>95.3831720443407</v>
      </c>
      <c r="Q64" s="29">
        <f>('[1]форма 2п моно'!$F$67/'[1]форма 2п моно'!$E$67/1.053+'[1]форма 2п моно'!$F$69/'[1]форма 2п моно'!$E$69/1.046)*100/2</f>
        <v>99.61822635500137</v>
      </c>
      <c r="R64" s="29"/>
      <c r="S64" s="29"/>
      <c r="T64" s="29">
        <f>('[1]форма 2п моно'!$G$67/'[1]форма 2п моно'!$F$67/1.042+'[1]форма 2п моно'!$G$69/'[1]форма 2п моно'!$F$69/1.041)/2*100</f>
        <v>99.85599997049935</v>
      </c>
      <c r="U64" s="29">
        <f>('[1]форма 2п моно'!$H$67/'[1]форма 2п моно'!$F$67/1.042+'[1]форма 2п моно'!$H$69/'[1]форма 2п моно'!$F$69/1.041)/2*100</f>
        <v>100.04798464491363</v>
      </c>
      <c r="V64" s="47"/>
      <c r="W64" s="29">
        <f>('[1]форма 2п моно'!$I$67/'[1]форма 2п моно'!$G$67/1.04+'[1]форма 2п моно'!$I$69/'[1]форма 2п моно'!$G$69/1.04)/2*100</f>
        <v>99.95192307692307</v>
      </c>
      <c r="X64" s="29">
        <f>('[1]форма 2п моно'!$J$67/'[1]форма 2п моно'!$H$67/1.04+'[1]форма 2п моно'!$J$69/'[1]форма 2п моно'!$H$69/1.04)/2*100</f>
        <v>100</v>
      </c>
      <c r="Y64" s="47"/>
      <c r="Z64" s="29">
        <f>('[1]форма 2п моно'!$K$67/'[1]форма 2п моно'!$I$67/1.04+'[1]форма 2п моно'!$K$69/'[1]форма 2п моно'!$I$69/1.04)/2*100</f>
        <v>99.95192307692307</v>
      </c>
      <c r="AA64" s="29">
        <f>('[1]форма 2п моно'!$L$67/'[1]форма 2п моно'!$J$67/1.04+'[1]форма 2п моно'!$L$69/'[1]форма 2п моно'!$J$69/1.04)/2*100</f>
        <v>100</v>
      </c>
      <c r="AB64" s="29"/>
    </row>
    <row r="65" spans="2:12" ht="37.5">
      <c r="B65" s="90"/>
      <c r="C65" s="18" t="s">
        <v>80</v>
      </c>
      <c r="D65" s="92">
        <v>83.6435555013268</v>
      </c>
      <c r="E65" s="103">
        <v>95.3831720443407</v>
      </c>
      <c r="F65" s="93">
        <v>99.61822635500137</v>
      </c>
      <c r="G65" s="93">
        <v>99.85599997049935</v>
      </c>
      <c r="H65" s="93">
        <v>100.04798464491363</v>
      </c>
      <c r="I65" s="93">
        <v>99.95192307692307</v>
      </c>
      <c r="J65" s="93">
        <v>100</v>
      </c>
      <c r="K65" s="93">
        <v>99.95192307692307</v>
      </c>
      <c r="L65" s="93">
        <v>100</v>
      </c>
    </row>
    <row r="66" spans="2:15" ht="18.75">
      <c r="B66" s="90" t="s">
        <v>85</v>
      </c>
      <c r="C66" s="11" t="s">
        <v>86</v>
      </c>
      <c r="D66" s="92">
        <f>'[1]форма 2п моно'!D$72</f>
        <v>873</v>
      </c>
      <c r="E66" s="92">
        <f>'[1]форма 2п моно'!E$72</f>
        <v>37</v>
      </c>
      <c r="F66" s="94">
        <f>'[1]форма 2п моно'!F$72</f>
        <v>50</v>
      </c>
      <c r="G66" s="94">
        <f>'[1]форма 2п моно'!G$72</f>
        <v>60</v>
      </c>
      <c r="H66" s="94">
        <f>'[1]форма 2п моно'!H$72</f>
        <v>80</v>
      </c>
      <c r="I66" s="94">
        <f>'[1]форма 2п моно'!I$72</f>
        <v>80</v>
      </c>
      <c r="J66" s="94">
        <f>'[1]форма 2п моно'!J$72</f>
        <v>100</v>
      </c>
      <c r="K66" s="94">
        <f>'[1]форма 2п моно'!K$72</f>
        <v>90</v>
      </c>
      <c r="L66" s="94">
        <f>'[1]форма 2п моно'!L$72</f>
        <v>150</v>
      </c>
      <c r="O66" s="30"/>
    </row>
    <row r="67" spans="2:12" ht="18.75">
      <c r="B67" s="90"/>
      <c r="C67" s="11" t="s">
        <v>43</v>
      </c>
      <c r="D67" s="92">
        <f>'[1]форма 2п моно'!D$73</f>
        <v>230.3</v>
      </c>
      <c r="E67" s="92">
        <f>'[1]форма 2п моно'!E$73</f>
        <v>4.2</v>
      </c>
      <c r="F67" s="92">
        <f>'[1]форма 2п моно'!F$73</f>
        <v>135.1</v>
      </c>
      <c r="G67" s="92">
        <f>'[1]форма 2п моно'!G$73</f>
        <v>120</v>
      </c>
      <c r="H67" s="92">
        <f>'[1]форма 2п моно'!H$73</f>
        <v>160</v>
      </c>
      <c r="I67" s="92">
        <f>'[1]форма 2п моно'!I$73</f>
        <v>133.33</v>
      </c>
      <c r="J67" s="92">
        <f>'[1]форма 2п моно'!J$73</f>
        <v>125</v>
      </c>
      <c r="K67" s="92">
        <f>'[1]форма 2п моно'!K$73</f>
        <v>112.5</v>
      </c>
      <c r="L67" s="92">
        <f>'[1]форма 2п моно'!L$73</f>
        <v>150</v>
      </c>
    </row>
    <row r="68" spans="2:12" ht="18.75">
      <c r="B68" s="10" t="s">
        <v>110</v>
      </c>
      <c r="C68" s="18"/>
      <c r="D68" s="104"/>
      <c r="E68" s="98"/>
      <c r="F68" s="98"/>
      <c r="G68" s="98"/>
      <c r="H68" s="98"/>
      <c r="I68" s="98"/>
      <c r="J68" s="98"/>
      <c r="K68" s="98"/>
      <c r="L68" s="98"/>
    </row>
    <row r="69" spans="2:15" ht="37.5">
      <c r="B69" s="49" t="s">
        <v>121</v>
      </c>
      <c r="C69" s="11" t="s">
        <v>4</v>
      </c>
      <c r="D69" s="92">
        <v>20.8658034</v>
      </c>
      <c r="E69" s="92">
        <v>23.96</v>
      </c>
      <c r="F69" s="92">
        <v>21.91</v>
      </c>
      <c r="G69" s="93">
        <f>H69*95/100</f>
        <v>20.672000000000004</v>
      </c>
      <c r="H69" s="93">
        <v>21.76</v>
      </c>
      <c r="I69" s="93">
        <f>J69*95/100</f>
        <v>20.5105</v>
      </c>
      <c r="J69" s="93">
        <v>21.59</v>
      </c>
      <c r="K69" s="93">
        <f>L69*95/100</f>
        <v>20.305394999999997</v>
      </c>
      <c r="L69" s="93">
        <f>J69*99/100</f>
        <v>21.3741</v>
      </c>
      <c r="O69" s="30" t="s">
        <v>139</v>
      </c>
    </row>
    <row r="70" spans="2:15" ht="37.5">
      <c r="B70" s="49" t="s">
        <v>122</v>
      </c>
      <c r="C70" s="11" t="s">
        <v>4</v>
      </c>
      <c r="D70" s="92">
        <v>13.91988022</v>
      </c>
      <c r="E70" s="92">
        <v>17.89</v>
      </c>
      <c r="F70" s="92">
        <v>10.69</v>
      </c>
      <c r="G70" s="93">
        <f>H70*95/100</f>
        <v>5.168000000000001</v>
      </c>
      <c r="H70" s="93">
        <v>5.44</v>
      </c>
      <c r="I70" s="93">
        <f>J70*95/100</f>
        <v>4.2085</v>
      </c>
      <c r="J70" s="93">
        <v>4.43</v>
      </c>
      <c r="K70" s="93">
        <f>L70*95/100</f>
        <v>3.4088849999999997</v>
      </c>
      <c r="L70" s="93">
        <f>J70*81/100</f>
        <v>3.5883</v>
      </c>
      <c r="O70" s="30" t="s">
        <v>139</v>
      </c>
    </row>
    <row r="71" spans="2:12" ht="18.75">
      <c r="B71" s="10" t="s">
        <v>111</v>
      </c>
      <c r="C71" s="18"/>
      <c r="D71" s="93"/>
      <c r="E71" s="93"/>
      <c r="F71" s="93"/>
      <c r="G71" s="93"/>
      <c r="H71" s="93"/>
      <c r="I71" s="93"/>
      <c r="J71" s="93"/>
      <c r="K71" s="93"/>
      <c r="L71" s="93"/>
    </row>
    <row r="72" spans="2:15" ht="37.5">
      <c r="B72" s="20" t="s">
        <v>87</v>
      </c>
      <c r="C72" s="11" t="s">
        <v>113</v>
      </c>
      <c r="D72" s="94">
        <v>711.065</v>
      </c>
      <c r="E72" s="94">
        <f>'[2]инв (2)'!H$10/1000</f>
        <v>520.821</v>
      </c>
      <c r="F72" s="94">
        <f>'[2]инв (2)'!I$10/1000</f>
        <v>635.6076330000001</v>
      </c>
      <c r="G72" s="94">
        <f>'[2]инв (2)'!J$10/1000</f>
        <v>404.98215799999997</v>
      </c>
      <c r="H72" s="94">
        <f>'[2]инв (2)'!K$10/1000</f>
        <v>2282.9436883199996</v>
      </c>
      <c r="I72" s="103">
        <f>'[2]инв (2)'!M$10/1000</f>
        <v>421.9914086360001</v>
      </c>
      <c r="J72" s="103">
        <f>'[2]инв (2)'!N$10/1000</f>
        <v>467.09087129112</v>
      </c>
      <c r="K72" s="103">
        <f>'[2]инв (2)'!P$10/1000</f>
        <v>439.293056390076</v>
      </c>
      <c r="L72" s="103">
        <f>'[2]инв (2)'!Q$10/1000</f>
        <v>456.9184186015559</v>
      </c>
      <c r="O72" s="30" t="s">
        <v>136</v>
      </c>
    </row>
    <row r="73" spans="2:12" ht="37.5">
      <c r="B73" s="12" t="s">
        <v>88</v>
      </c>
      <c r="C73" s="11" t="s">
        <v>1</v>
      </c>
      <c r="D73" s="92">
        <v>217.8</v>
      </c>
      <c r="E73" s="92">
        <f>'[2]инв (2)'!H$11</f>
        <v>69.55859697873437</v>
      </c>
      <c r="F73" s="92">
        <f>'[2]инв (2)'!I$11</f>
        <v>116.11755987885124</v>
      </c>
      <c r="G73" s="92">
        <f>'[2]инв (2)'!J$11</f>
        <v>61.14755090735243</v>
      </c>
      <c r="H73" s="92">
        <f>'[2]инв (2)'!K$11</f>
        <v>345.3605727617424</v>
      </c>
      <c r="I73" s="93">
        <f>'[2]инв (2)'!M$11</f>
        <v>100.00000000000003</v>
      </c>
      <c r="J73" s="93">
        <f>'[2]инв (2)'!N$11</f>
        <v>19.654203612276294</v>
      </c>
      <c r="K73" s="93">
        <f>'[2]инв (2)'!P$11</f>
        <v>100</v>
      </c>
      <c r="L73" s="93">
        <f>'[2]инв (2)'!Q$11</f>
        <v>93.9694220748349</v>
      </c>
    </row>
    <row r="74" spans="2:12" ht="37.5">
      <c r="B74" s="12" t="s">
        <v>89</v>
      </c>
      <c r="C74" s="21"/>
      <c r="D74" s="92"/>
      <c r="E74" s="93"/>
      <c r="F74" s="93"/>
      <c r="G74" s="93"/>
      <c r="H74" s="93"/>
      <c r="I74" s="93"/>
      <c r="J74" s="93"/>
      <c r="K74" s="93"/>
      <c r="L74" s="93"/>
    </row>
    <row r="75" spans="2:12" ht="18.75">
      <c r="B75" s="12" t="s">
        <v>90</v>
      </c>
      <c r="C75" s="11" t="s">
        <v>4</v>
      </c>
      <c r="D75" s="92">
        <v>318.873</v>
      </c>
      <c r="E75" s="92">
        <f>'[2]инв (2)'!H$14/1000</f>
        <v>471.782</v>
      </c>
      <c r="F75" s="92">
        <f>'[2]инв (2)'!I$14/1000</f>
        <v>341.515</v>
      </c>
      <c r="G75" s="92">
        <f>'[2]инв (2)'!J$14/1000</f>
        <v>355.1756</v>
      </c>
      <c r="H75" s="92">
        <f>'[2]инв (2)'!K$14/1000</f>
        <v>358.59075</v>
      </c>
      <c r="I75" s="93">
        <f>'[2]инв (2)'!M$14/1000</f>
        <v>370.09297520000007</v>
      </c>
      <c r="J75" s="93">
        <f>'[2]инв (2)'!N$14/1000</f>
        <v>376.5202875</v>
      </c>
      <c r="K75" s="93">
        <f>'[2]инв (2)'!P$14/1000</f>
        <v>385.2667871832</v>
      </c>
      <c r="L75" s="93">
        <f>'[2]инв (2)'!Q$14/1000</f>
        <v>395.346301875</v>
      </c>
    </row>
    <row r="76" spans="2:12" ht="18.75">
      <c r="B76" s="12" t="s">
        <v>91</v>
      </c>
      <c r="C76" s="11"/>
      <c r="D76" s="92"/>
      <c r="E76" s="93"/>
      <c r="F76" s="93"/>
      <c r="G76" s="93"/>
      <c r="H76" s="93"/>
      <c r="I76" s="93"/>
      <c r="J76" s="93"/>
      <c r="K76" s="93"/>
      <c r="L76" s="93"/>
    </row>
    <row r="77" spans="2:12" ht="18.75">
      <c r="B77" s="12" t="s">
        <v>92</v>
      </c>
      <c r="C77" s="11" t="s">
        <v>4</v>
      </c>
      <c r="D77" s="92">
        <v>122.837</v>
      </c>
      <c r="E77" s="92">
        <f>'[2]инв (2)'!H$16/1000</f>
        <v>152.896</v>
      </c>
      <c r="F77" s="92">
        <f>'[2]инв (2)'!I$16/1000</f>
        <v>10.37</v>
      </c>
      <c r="G77" s="92">
        <f>'[2]инв (2)'!J$16/1000</f>
        <v>10.7848</v>
      </c>
      <c r="H77" s="92">
        <f>'[2]инв (2)'!K$16/1000</f>
        <v>10.8885</v>
      </c>
      <c r="I77" s="93">
        <f>'[2]инв (2)'!M$16/1000</f>
        <v>11.237761600000002</v>
      </c>
      <c r="J77" s="93">
        <f>'[2]инв (2)'!N$16/1000</f>
        <v>11.432925000000001</v>
      </c>
      <c r="K77" s="93">
        <f>'[2]инв (2)'!P$16/1000</f>
        <v>11.6985098256</v>
      </c>
      <c r="L77" s="93">
        <f>'[2]инв (2)'!Q$16/1000</f>
        <v>12.004571250000001</v>
      </c>
    </row>
    <row r="78" spans="2:12" ht="18.75">
      <c r="B78" s="12" t="s">
        <v>93</v>
      </c>
      <c r="C78" s="11" t="s">
        <v>4</v>
      </c>
      <c r="D78" s="92">
        <v>196.036</v>
      </c>
      <c r="E78" s="92">
        <f>'[2]инв (2)'!H$17/1000</f>
        <v>318.886</v>
      </c>
      <c r="F78" s="92">
        <f>'[2]инв (2)'!I$17/1000</f>
        <v>331.145</v>
      </c>
      <c r="G78" s="92">
        <f>'[2]инв (2)'!J$17/1000</f>
        <v>344.3908</v>
      </c>
      <c r="H78" s="92">
        <f>'[2]инв (2)'!K$17/1000</f>
        <v>347.70225</v>
      </c>
      <c r="I78" s="93">
        <f>'[2]инв (2)'!M$17/1000</f>
        <v>358.8552136</v>
      </c>
      <c r="J78" s="93">
        <f>'[2]инв (2)'!N$17/1000</f>
        <v>365.0873625</v>
      </c>
      <c r="K78" s="93">
        <f>'[2]инв (2)'!P$17/1000</f>
        <v>373.5682773576</v>
      </c>
      <c r="L78" s="93">
        <f>'[2]инв (2)'!Q$17/1000</f>
        <v>383.341730625</v>
      </c>
    </row>
    <row r="79" spans="2:12" ht="18.75">
      <c r="B79" s="12" t="s">
        <v>94</v>
      </c>
      <c r="C79" s="11" t="s">
        <v>4</v>
      </c>
      <c r="D79" s="92">
        <v>392.192</v>
      </c>
      <c r="E79" s="92">
        <f>'[2]инв (2)'!H$18/1000</f>
        <v>49.039</v>
      </c>
      <c r="F79" s="92">
        <f>'[2]инв (2)'!I$18/1000</f>
        <v>294.09263300000003</v>
      </c>
      <c r="G79" s="92">
        <f>'[2]инв (2)'!J$18/1000</f>
        <v>49.806557999999995</v>
      </c>
      <c r="H79" s="92">
        <f>'[2]инв (2)'!K$18/1000</f>
        <v>1924.35293832</v>
      </c>
      <c r="I79" s="93">
        <f>'[2]инв (2)'!M$18/1000</f>
        <v>51.89843343600001</v>
      </c>
      <c r="J79" s="93">
        <f>'[2]инв (2)'!N$18/1000</f>
        <v>90.57058379112</v>
      </c>
      <c r="K79" s="93">
        <f>'[2]инв (2)'!P$18/1000</f>
        <v>54.026269206876</v>
      </c>
      <c r="L79" s="93">
        <f>'[2]инв (2)'!Q$18/1000</f>
        <v>61.57211672655592</v>
      </c>
    </row>
    <row r="80" spans="2:12" ht="18.75">
      <c r="B80" s="12" t="s">
        <v>91</v>
      </c>
      <c r="C80" s="11"/>
      <c r="D80" s="92"/>
      <c r="E80" s="93"/>
      <c r="F80" s="93"/>
      <c r="G80" s="93"/>
      <c r="H80" s="93"/>
      <c r="I80" s="93"/>
      <c r="J80" s="93"/>
      <c r="K80" s="93"/>
      <c r="L80" s="93"/>
    </row>
    <row r="81" spans="2:12" ht="18.75">
      <c r="B81" s="12" t="s">
        <v>95</v>
      </c>
      <c r="C81" s="11" t="s">
        <v>4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3">
        <v>0</v>
      </c>
      <c r="J81" s="93">
        <v>0</v>
      </c>
      <c r="K81" s="93">
        <v>0</v>
      </c>
      <c r="L81" s="93">
        <v>0</v>
      </c>
    </row>
    <row r="82" spans="1:12" ht="18.75">
      <c r="A82" s="5"/>
      <c r="B82" s="12" t="s">
        <v>96</v>
      </c>
      <c r="C82" s="11" t="s">
        <v>4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</row>
    <row r="83" spans="2:12" ht="18.75">
      <c r="B83" s="12" t="s">
        <v>97</v>
      </c>
      <c r="C83" s="11" t="s">
        <v>4</v>
      </c>
      <c r="D83" s="92">
        <v>294.505</v>
      </c>
      <c r="E83" s="92">
        <f>'[2]инв (2)'!H$22/1000</f>
        <v>0.395</v>
      </c>
      <c r="F83" s="92">
        <f>'[2]инв (2)'!I$22/1000</f>
        <v>0</v>
      </c>
      <c r="G83" s="92">
        <f>'[2]инв (2)'!J$22/1000</f>
        <v>0</v>
      </c>
      <c r="H83" s="92">
        <f>'[2]инв (2)'!K$22/1000</f>
        <v>0</v>
      </c>
      <c r="I83" s="92">
        <f>'[2]инв (2)'!M$22/1000</f>
        <v>0</v>
      </c>
      <c r="J83" s="92">
        <f>'[2]инв (2)'!N$22/1000</f>
        <v>0</v>
      </c>
      <c r="K83" s="92">
        <f>'[2]инв (2)'!P$22/1000</f>
        <v>0</v>
      </c>
      <c r="L83" s="92">
        <f>'[2]инв (2)'!Q$22/1000</f>
        <v>0</v>
      </c>
    </row>
    <row r="84" spans="2:12" ht="18.75">
      <c r="B84" s="12" t="s">
        <v>98</v>
      </c>
      <c r="C84" s="11" t="s">
        <v>4</v>
      </c>
      <c r="D84" s="92">
        <v>82.355</v>
      </c>
      <c r="E84" s="92">
        <f>'[2]инв (2)'!H$23/1000</f>
        <v>47.316</v>
      </c>
      <c r="F84" s="92">
        <f>'[2]инв (2)'!I$23/1000</f>
        <v>101.717</v>
      </c>
      <c r="G84" s="92">
        <f>'[2]инв (2)'!J$23/1000</f>
        <v>49.303272</v>
      </c>
      <c r="H84" s="92">
        <f>'[2]инв (2)'!K$23/1000</f>
        <v>1923.825</v>
      </c>
      <c r="I84" s="93">
        <f>'[2]инв (2)'!M$23/1000</f>
        <v>51.37400942400001</v>
      </c>
      <c r="J84" s="93">
        <f>'[2]инв (2)'!N$23/1000</f>
        <v>90.021</v>
      </c>
      <c r="K84" s="93">
        <f>'[2]инв (2)'!P$23/1000</f>
        <v>53.480343810384</v>
      </c>
      <c r="L84" s="93">
        <f>'[2]инв (2)'!Q$23/1000</f>
        <v>61</v>
      </c>
    </row>
    <row r="85" spans="2:12" ht="18.75">
      <c r="B85" s="12" t="s">
        <v>99</v>
      </c>
      <c r="C85" s="11" t="s">
        <v>4</v>
      </c>
      <c r="D85" s="92"/>
      <c r="E85" s="92"/>
      <c r="F85" s="92"/>
      <c r="G85" s="92"/>
      <c r="H85" s="92"/>
      <c r="I85" s="93"/>
      <c r="J85" s="93"/>
      <c r="K85" s="93"/>
      <c r="L85" s="93"/>
    </row>
    <row r="86" spans="2:12" ht="18.75">
      <c r="B86" s="12" t="s">
        <v>100</v>
      </c>
      <c r="C86" s="11" t="s">
        <v>4</v>
      </c>
      <c r="D86" s="92">
        <v>2.205</v>
      </c>
      <c r="E86" s="92">
        <f>'[2]инв (2)'!H$25/1000</f>
        <v>3.162</v>
      </c>
      <c r="F86" s="92">
        <f>'[2]инв (2)'!I$25/1000</f>
        <v>27.534</v>
      </c>
      <c r="G86" s="92">
        <f>'[2]инв (2)'!J$25/1000</f>
        <v>3.294804</v>
      </c>
      <c r="H86" s="92">
        <f>'[2]инв (2)'!K$25/1000</f>
        <v>765.541</v>
      </c>
      <c r="I86" s="93">
        <f>'[2]инв (2)'!M$25/1000</f>
        <v>3.4331857680000004</v>
      </c>
      <c r="J86" s="93">
        <f>'[2]инв (2)'!N$25/1000</f>
        <v>47.24</v>
      </c>
      <c r="K86" s="93">
        <f>'[2]инв (2)'!P$25/1000</f>
        <v>3.573946384488</v>
      </c>
      <c r="L86" s="93">
        <f>'[2]инв (2)'!Q$25/1000</f>
        <v>47</v>
      </c>
    </row>
    <row r="87" spans="2:12" ht="18.75">
      <c r="B87" s="12" t="s">
        <v>101</v>
      </c>
      <c r="C87" s="11" t="s">
        <v>4</v>
      </c>
      <c r="D87" s="92">
        <v>76.049</v>
      </c>
      <c r="E87" s="92">
        <f>'[2]инв (2)'!H$26/1000</f>
        <v>31.085</v>
      </c>
      <c r="F87" s="92">
        <f>'[2]инв (2)'!I$26/1000</f>
        <v>62.015</v>
      </c>
      <c r="G87" s="92">
        <f>'[2]инв (2)'!J$26/1000</f>
        <v>32.39057</v>
      </c>
      <c r="H87" s="92">
        <f>'[2]инв (2)'!K$26/1000</f>
        <v>1150.623</v>
      </c>
      <c r="I87" s="93">
        <f>'[2]инв (2)'!M$26/1000</f>
        <v>33.75097394</v>
      </c>
      <c r="J87" s="93">
        <f>'[2]инв (2)'!N$26/1000</f>
        <v>38.123</v>
      </c>
      <c r="K87" s="93">
        <f>'[2]инв (2)'!P$26/1000</f>
        <v>35.13476387154</v>
      </c>
      <c r="L87" s="93">
        <f>'[2]инв (2)'!Q$26/1000</f>
        <v>12.171</v>
      </c>
    </row>
    <row r="88" spans="2:12" ht="18.75">
      <c r="B88" s="12" t="s">
        <v>102</v>
      </c>
      <c r="C88" s="11" t="s">
        <v>4</v>
      </c>
      <c r="D88" s="92">
        <v>4.101</v>
      </c>
      <c r="E88" s="92">
        <f>'[2]инв (2)'!H$27/1000</f>
        <v>13.069</v>
      </c>
      <c r="F88" s="92">
        <f>'[2]инв (2)'!I$27/1000</f>
        <v>12.168</v>
      </c>
      <c r="G88" s="92">
        <f>'[2]инв (2)'!J$27/1000</f>
        <v>13.617898</v>
      </c>
      <c r="H88" s="92">
        <f>'[2]инв (2)'!K$27/1000</f>
        <v>7.661</v>
      </c>
      <c r="I88" s="93">
        <f>'[2]инв (2)'!M$27/1000</f>
        <v>14.189849716000003</v>
      </c>
      <c r="J88" s="93">
        <f>'[2]инв (2)'!N$27/1000</f>
        <v>4.658</v>
      </c>
      <c r="K88" s="93">
        <f>'[2]инв (2)'!P$27/1000</f>
        <v>14.771633554356002</v>
      </c>
      <c r="L88" s="93">
        <f>'[2]инв (2)'!Q$27/1000</f>
        <v>1.829</v>
      </c>
    </row>
    <row r="89" spans="2:12" ht="18.75">
      <c r="B89" s="12" t="s">
        <v>103</v>
      </c>
      <c r="C89" s="11" t="s">
        <v>4</v>
      </c>
      <c r="D89" s="92">
        <v>1.507</v>
      </c>
      <c r="E89" s="92">
        <f>'[2]инв (2)'!H$28/1000</f>
        <v>0.483</v>
      </c>
      <c r="F89" s="92">
        <f>'[2]инв (2)'!I$28/1000</f>
        <v>0.507633</v>
      </c>
      <c r="G89" s="92">
        <f>'[2]инв (2)'!J$28/1000</f>
        <v>0.503286</v>
      </c>
      <c r="H89" s="92">
        <f>'[2]инв (2)'!K$28/1000</f>
        <v>0.52793832</v>
      </c>
      <c r="I89" s="93">
        <f>'[2]инв (2)'!M$28/1000</f>
        <v>0.5244240120000001</v>
      </c>
      <c r="J89" s="93">
        <f>'[2]инв (2)'!N$28/1000</f>
        <v>0.5495837911199999</v>
      </c>
      <c r="K89" s="93">
        <f>'[2]инв (2)'!P$28/1000</f>
        <v>0.545925396492</v>
      </c>
      <c r="L89" s="93">
        <f>'[2]инв (2)'!Q$28/1000</f>
        <v>0.5721167265559198</v>
      </c>
    </row>
    <row r="90" spans="2:12" ht="18.75">
      <c r="B90" s="12" t="s">
        <v>104</v>
      </c>
      <c r="C90" s="11" t="s">
        <v>4</v>
      </c>
      <c r="D90" s="92">
        <v>13.825</v>
      </c>
      <c r="E90" s="92">
        <f>'[2]инв (2)'!H$29/1000</f>
        <v>0.845</v>
      </c>
      <c r="F90" s="92">
        <f>'[2]инв (2)'!I$29/1000</f>
        <v>191.868</v>
      </c>
      <c r="G90" s="92">
        <f>'[2]инв (2)'!J$29/1000</f>
        <v>0</v>
      </c>
      <c r="H90" s="92">
        <f>'[2]инв (2)'!K$29/1000</f>
        <v>0</v>
      </c>
      <c r="I90" s="93">
        <f>'[2]инв (2)'!M$29/1000</f>
        <v>0</v>
      </c>
      <c r="J90" s="93">
        <f>'[2]инв (2)'!N$29/1000</f>
        <v>0</v>
      </c>
      <c r="K90" s="93">
        <f>'[2]инв (2)'!P$29/1000</f>
        <v>0</v>
      </c>
      <c r="L90" s="93">
        <f>'[2]инв (2)'!Q$29/1000</f>
        <v>0</v>
      </c>
    </row>
    <row r="91" spans="2:12" ht="18.75">
      <c r="B91" s="22" t="s">
        <v>112</v>
      </c>
      <c r="C91" s="23"/>
      <c r="D91" s="92"/>
      <c r="E91" s="93"/>
      <c r="F91" s="93"/>
      <c r="G91" s="93"/>
      <c r="H91" s="93"/>
      <c r="I91" s="93"/>
      <c r="J91" s="93"/>
      <c r="K91" s="93"/>
      <c r="L91" s="93"/>
    </row>
    <row r="92" spans="2:12" ht="37.5">
      <c r="B92" s="24" t="s">
        <v>7</v>
      </c>
      <c r="C92" s="25" t="s">
        <v>3</v>
      </c>
      <c r="D92" s="92">
        <v>2.247</v>
      </c>
      <c r="E92" s="93">
        <v>2.235</v>
      </c>
      <c r="F92" s="93">
        <v>2.13</v>
      </c>
      <c r="G92" s="93">
        <v>2.03</v>
      </c>
      <c r="H92" s="93">
        <v>2.04</v>
      </c>
      <c r="I92" s="93">
        <v>1.9</v>
      </c>
      <c r="J92" s="93">
        <v>1.95</v>
      </c>
      <c r="K92" s="93">
        <v>1.79</v>
      </c>
      <c r="L92" s="93">
        <v>1.89</v>
      </c>
    </row>
    <row r="93" spans="2:12" ht="56.25">
      <c r="B93" s="24" t="s">
        <v>8</v>
      </c>
      <c r="C93" s="25" t="s">
        <v>3</v>
      </c>
      <c r="D93" s="105">
        <v>4.565</v>
      </c>
      <c r="E93" s="93">
        <v>4.628</v>
      </c>
      <c r="F93" s="93">
        <v>4.635</v>
      </c>
      <c r="G93" s="93">
        <v>4.595</v>
      </c>
      <c r="H93" s="93">
        <v>4.626</v>
      </c>
      <c r="I93" s="93">
        <v>4.534</v>
      </c>
      <c r="J93" s="93">
        <v>4.567</v>
      </c>
      <c r="K93" s="93">
        <v>4.501</v>
      </c>
      <c r="L93" s="93">
        <v>4.537</v>
      </c>
    </row>
    <row r="94" spans="2:12" ht="18.75">
      <c r="B94" s="24" t="s">
        <v>9</v>
      </c>
      <c r="C94" s="23" t="s">
        <v>3</v>
      </c>
      <c r="D94" s="105">
        <v>4.565</v>
      </c>
      <c r="E94" s="93">
        <v>4.628</v>
      </c>
      <c r="F94" s="93">
        <v>4.635</v>
      </c>
      <c r="G94" s="93">
        <v>4.595</v>
      </c>
      <c r="H94" s="93">
        <v>4.626</v>
      </c>
      <c r="I94" s="93">
        <v>4.534</v>
      </c>
      <c r="J94" s="93">
        <v>4.567</v>
      </c>
      <c r="K94" s="93">
        <v>4.501</v>
      </c>
      <c r="L94" s="93">
        <v>4.537</v>
      </c>
    </row>
    <row r="95" spans="2:12" ht="18.75">
      <c r="B95" s="26" t="s">
        <v>10</v>
      </c>
      <c r="C95" s="25" t="s">
        <v>3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</row>
    <row r="96" spans="2:12" ht="37.5">
      <c r="B96" s="24" t="s">
        <v>11</v>
      </c>
      <c r="C96" s="25" t="s">
        <v>3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</row>
    <row r="97" spans="2:12" ht="56.25">
      <c r="B97" s="24" t="s">
        <v>12</v>
      </c>
      <c r="C97" s="25" t="s">
        <v>3</v>
      </c>
      <c r="D97" s="107">
        <v>0.7629999999999999</v>
      </c>
      <c r="E97" s="93">
        <f>0.089+0.59</f>
        <v>0.6789999999999999</v>
      </c>
      <c r="F97" s="93">
        <f>0.027+0.639</f>
        <v>0.666</v>
      </c>
      <c r="G97" s="93">
        <v>0.585</v>
      </c>
      <c r="H97" s="93">
        <v>0.664</v>
      </c>
      <c r="I97" s="93">
        <v>0.59</v>
      </c>
      <c r="J97" s="93">
        <v>0.664</v>
      </c>
      <c r="K97" s="93">
        <v>0.59</v>
      </c>
      <c r="L97" s="93">
        <v>0.69</v>
      </c>
    </row>
    <row r="98" spans="2:12" ht="37.5">
      <c r="B98" s="24" t="s">
        <v>13</v>
      </c>
      <c r="C98" s="25" t="s">
        <v>3</v>
      </c>
      <c r="D98" s="107">
        <v>0.7629999999999999</v>
      </c>
      <c r="E98" s="93">
        <f>E97</f>
        <v>0.6789999999999999</v>
      </c>
      <c r="F98" s="93">
        <f aca="true" t="shared" si="7" ref="F98:L98">F97</f>
        <v>0.666</v>
      </c>
      <c r="G98" s="93">
        <f t="shared" si="7"/>
        <v>0.585</v>
      </c>
      <c r="H98" s="93">
        <f t="shared" si="7"/>
        <v>0.664</v>
      </c>
      <c r="I98" s="93">
        <f t="shared" si="7"/>
        <v>0.59</v>
      </c>
      <c r="J98" s="93">
        <f t="shared" si="7"/>
        <v>0.664</v>
      </c>
      <c r="K98" s="93">
        <f t="shared" si="7"/>
        <v>0.59</v>
      </c>
      <c r="L98" s="93">
        <f t="shared" si="7"/>
        <v>0.69</v>
      </c>
    </row>
    <row r="99" spans="2:15" ht="56.25">
      <c r="B99" s="24" t="s">
        <v>14</v>
      </c>
      <c r="C99" s="25" t="s">
        <v>3</v>
      </c>
      <c r="D99" s="108">
        <v>0.061</v>
      </c>
      <c r="E99" s="93">
        <v>0.051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O99" s="30" t="s">
        <v>145</v>
      </c>
    </row>
    <row r="100" spans="2:12" ht="37.5">
      <c r="B100" s="24" t="s">
        <v>13</v>
      </c>
      <c r="C100" s="25" t="s">
        <v>3</v>
      </c>
      <c r="D100" s="103">
        <v>0.061</v>
      </c>
      <c r="E100" s="93">
        <f>E99</f>
        <v>0.051</v>
      </c>
      <c r="F100" s="93">
        <f aca="true" t="shared" si="8" ref="F100:L100">F99</f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3">
        <f t="shared" si="8"/>
        <v>0</v>
      </c>
      <c r="K100" s="93">
        <f t="shared" si="8"/>
        <v>0</v>
      </c>
      <c r="L100" s="93">
        <f t="shared" si="8"/>
        <v>0</v>
      </c>
    </row>
    <row r="101" spans="2:12" ht="18.75">
      <c r="B101" s="27" t="s">
        <v>15</v>
      </c>
      <c r="C101" s="23" t="s">
        <v>6</v>
      </c>
      <c r="D101" s="109"/>
      <c r="E101" s="93"/>
      <c r="F101" s="93"/>
      <c r="G101" s="110"/>
      <c r="H101" s="110"/>
      <c r="I101" s="110"/>
      <c r="J101" s="110"/>
      <c r="K101" s="110"/>
      <c r="L101" s="110"/>
    </row>
    <row r="102" spans="2:15" ht="37.5">
      <c r="B102" s="24" t="s">
        <v>16</v>
      </c>
      <c r="C102" s="25" t="s">
        <v>3</v>
      </c>
      <c r="D102" s="108">
        <v>0.147</v>
      </c>
      <c r="E102" s="96">
        <f>0.1606+0.031</f>
        <v>0.1916</v>
      </c>
      <c r="F102" s="96">
        <f>0.2+0.178</f>
        <v>0.378</v>
      </c>
      <c r="G102" s="93">
        <v>0.16</v>
      </c>
      <c r="H102" s="93">
        <v>0.187</v>
      </c>
      <c r="I102" s="93">
        <v>0.163</v>
      </c>
      <c r="J102" s="93">
        <v>0.203</v>
      </c>
      <c r="K102" s="96">
        <v>0.165</v>
      </c>
      <c r="L102" s="96">
        <v>0.207</v>
      </c>
      <c r="O102" s="30" t="s">
        <v>146</v>
      </c>
    </row>
    <row r="103" spans="2:12" ht="37.5">
      <c r="B103" s="24" t="s">
        <v>17</v>
      </c>
      <c r="C103" s="25" t="s">
        <v>3</v>
      </c>
      <c r="D103" s="108">
        <v>0.019</v>
      </c>
      <c r="E103" s="93">
        <v>0.009</v>
      </c>
      <c r="F103" s="93">
        <v>0.013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2:12" ht="18.75">
      <c r="B104" s="27" t="s">
        <v>18</v>
      </c>
      <c r="C104" s="23"/>
      <c r="D104" s="92"/>
      <c r="E104" s="93"/>
      <c r="F104" s="93"/>
      <c r="G104" s="93"/>
      <c r="H104" s="93"/>
      <c r="I104" s="93"/>
      <c r="J104" s="93"/>
      <c r="K104" s="93"/>
      <c r="L104" s="93"/>
    </row>
    <row r="105" spans="2:12" ht="18.75">
      <c r="B105" s="26" t="s">
        <v>19</v>
      </c>
      <c r="C105" s="28"/>
      <c r="D105" s="92"/>
      <c r="E105" s="93"/>
      <c r="F105" s="93"/>
      <c r="G105" s="93"/>
      <c r="H105" s="93"/>
      <c r="I105" s="93"/>
      <c r="J105" s="93"/>
      <c r="K105" s="93"/>
      <c r="L105" s="93"/>
    </row>
    <row r="106" spans="2:12" ht="18.75">
      <c r="B106" s="26" t="s">
        <v>20</v>
      </c>
      <c r="C106" s="23" t="s">
        <v>21</v>
      </c>
      <c r="D106" s="93">
        <f>(201+75+26)/(D13/10)</f>
        <v>70.29795158286778</v>
      </c>
      <c r="E106" s="93">
        <f>(203+75+26)/(E13/10)</f>
        <v>71.51258527405318</v>
      </c>
      <c r="F106" s="93">
        <f>(190+75+26)/(F13/10)</f>
        <v>69.13263487990878</v>
      </c>
      <c r="G106" s="93">
        <f>(190+75+26)/(G13/10)</f>
        <v>69.8159833017442</v>
      </c>
      <c r="H106" s="93">
        <f>(195+75+26)/(H13/10)</f>
        <v>71.0019429585742</v>
      </c>
      <c r="I106" s="93">
        <f>(190+75+26)/(I13/10)</f>
        <v>70.49589379587685</v>
      </c>
      <c r="J106" s="93">
        <f>(195+75+26)/(J13/10)</f>
        <v>71.66723161105999</v>
      </c>
      <c r="K106" s="93">
        <f>(180+75+26)/(K13/10)</f>
        <v>68.72600092939075</v>
      </c>
      <c r="L106" s="93">
        <f>(190+75+26)/(L13/10)</f>
        <v>71.08831073653351</v>
      </c>
    </row>
    <row r="107" spans="2:12" ht="18.75">
      <c r="B107" s="26" t="s">
        <v>22</v>
      </c>
      <c r="C107" s="23" t="s">
        <v>105</v>
      </c>
      <c r="D107" s="92">
        <f aca="true" t="shared" si="9" ref="D107:L107">9/(D13/100)</f>
        <v>20.949720670391063</v>
      </c>
      <c r="E107" s="92">
        <f t="shared" si="9"/>
        <v>21.17148906139732</v>
      </c>
      <c r="F107" s="92">
        <f t="shared" si="9"/>
        <v>21.381227282446012</v>
      </c>
      <c r="G107" s="92">
        <f t="shared" si="9"/>
        <v>21.59257215517862</v>
      </c>
      <c r="H107" s="92">
        <f t="shared" si="9"/>
        <v>21.588428602269186</v>
      </c>
      <c r="I107" s="92">
        <f t="shared" si="9"/>
        <v>21.802853751302116</v>
      </c>
      <c r="J107" s="92">
        <f t="shared" si="9"/>
        <v>21.790712314173646</v>
      </c>
      <c r="K107" s="92">
        <f t="shared" si="9"/>
        <v>22.01188641866608</v>
      </c>
      <c r="L107" s="92">
        <f t="shared" si="9"/>
        <v>21.98607548552583</v>
      </c>
    </row>
    <row r="108" spans="2:12" ht="18.75">
      <c r="B108" s="26" t="s">
        <v>23</v>
      </c>
      <c r="C108" s="23" t="s">
        <v>105</v>
      </c>
      <c r="D108" s="92">
        <f>6/(D13/100)</f>
        <v>13.966480446927374</v>
      </c>
      <c r="E108" s="92">
        <f>6/(E13/100)</f>
        <v>14.114326040931546</v>
      </c>
      <c r="F108" s="92">
        <f aca="true" t="shared" si="10" ref="F108:L108">6/(F13/100)</f>
        <v>14.254151521630677</v>
      </c>
      <c r="G108" s="92">
        <f t="shared" si="10"/>
        <v>14.395048103452414</v>
      </c>
      <c r="H108" s="92">
        <f t="shared" si="10"/>
        <v>14.392285734846123</v>
      </c>
      <c r="I108" s="92">
        <f t="shared" si="10"/>
        <v>14.53523583420141</v>
      </c>
      <c r="J108" s="92">
        <f t="shared" si="10"/>
        <v>14.527141542782433</v>
      </c>
      <c r="K108" s="92">
        <f t="shared" si="10"/>
        <v>14.674590945777386</v>
      </c>
      <c r="L108" s="92">
        <f t="shared" si="10"/>
        <v>14.65738365701722</v>
      </c>
    </row>
    <row r="109" spans="2:12" ht="36">
      <c r="B109" s="31" t="s">
        <v>24</v>
      </c>
      <c r="C109" s="23" t="s">
        <v>31</v>
      </c>
      <c r="D109" s="93">
        <v>825</v>
      </c>
      <c r="E109" s="93">
        <v>821</v>
      </c>
      <c r="F109" s="93">
        <v>783</v>
      </c>
      <c r="G109" s="93">
        <v>746</v>
      </c>
      <c r="H109" s="93">
        <v>749</v>
      </c>
      <c r="I109" s="93">
        <v>716</v>
      </c>
      <c r="J109" s="93">
        <v>766</v>
      </c>
      <c r="K109" s="93">
        <v>694</v>
      </c>
      <c r="L109" s="93">
        <v>721</v>
      </c>
    </row>
    <row r="110" spans="2:12" ht="36">
      <c r="B110" s="26" t="s">
        <v>25</v>
      </c>
      <c r="C110" s="25" t="s">
        <v>26</v>
      </c>
      <c r="D110" s="92">
        <f>(760+20)/(D13/10)</f>
        <v>181.56424581005587</v>
      </c>
      <c r="E110" s="92">
        <f aca="true" t="shared" si="11" ref="E110:L110">(677+20)/(E13/10)</f>
        <v>163.9614208421548</v>
      </c>
      <c r="F110" s="92">
        <f t="shared" si="11"/>
        <v>165.58572684294302</v>
      </c>
      <c r="G110" s="92">
        <f t="shared" si="11"/>
        <v>167.22247546843886</v>
      </c>
      <c r="H110" s="92">
        <f t="shared" si="11"/>
        <v>167.19038595312912</v>
      </c>
      <c r="I110" s="92">
        <f t="shared" si="11"/>
        <v>168.8509896073064</v>
      </c>
      <c r="J110" s="92">
        <f t="shared" si="11"/>
        <v>168.75696092198925</v>
      </c>
      <c r="K110" s="92">
        <f t="shared" si="11"/>
        <v>170.46983148678063</v>
      </c>
      <c r="L110" s="92">
        <f t="shared" si="11"/>
        <v>170.26994014901672</v>
      </c>
    </row>
    <row r="111" spans="2:12" ht="18">
      <c r="B111" s="26" t="s">
        <v>27</v>
      </c>
      <c r="C111" s="23"/>
      <c r="D111" s="92"/>
      <c r="E111" s="93"/>
      <c r="F111" s="93"/>
      <c r="G111" s="93"/>
      <c r="H111" s="93"/>
      <c r="I111" s="93"/>
      <c r="J111" s="93"/>
      <c r="K111" s="93"/>
      <c r="L111" s="93"/>
    </row>
    <row r="112" spans="2:12" ht="18">
      <c r="B112" s="26" t="s">
        <v>28</v>
      </c>
      <c r="C112" s="25" t="s">
        <v>106</v>
      </c>
      <c r="D112" s="96">
        <f>(7+95)/1000</f>
        <v>0.102</v>
      </c>
      <c r="E112" s="96">
        <f>(10+83)/1000</f>
        <v>0.093</v>
      </c>
      <c r="F112" s="96">
        <f>(85+12)/1000</f>
        <v>0.097</v>
      </c>
      <c r="G112" s="111">
        <f>(10+84)/1000</f>
        <v>0.094</v>
      </c>
      <c r="H112" s="111">
        <f>(12+86)/1000</f>
        <v>0.098</v>
      </c>
      <c r="I112" s="96">
        <f>(10+81)/1000</f>
        <v>0.091</v>
      </c>
      <c r="J112" s="96">
        <f>(12+88)/1000</f>
        <v>0.1</v>
      </c>
      <c r="K112" s="96">
        <f>(10+80)/1000</f>
        <v>0.09</v>
      </c>
      <c r="L112" s="96">
        <f>(12+90)/1000</f>
        <v>0.102</v>
      </c>
    </row>
    <row r="113" spans="2:12" ht="18">
      <c r="B113" s="26" t="s">
        <v>29</v>
      </c>
      <c r="C113" s="25" t="s">
        <v>106</v>
      </c>
      <c r="D113" s="96">
        <f>(26+312)/1000</f>
        <v>0.338</v>
      </c>
      <c r="E113" s="96">
        <f>(24+306)/1000</f>
        <v>0.33</v>
      </c>
      <c r="F113" s="96">
        <f>(26+315)/1000</f>
        <v>0.341</v>
      </c>
      <c r="G113" s="96">
        <f>(26+280)/1000</f>
        <v>0.306</v>
      </c>
      <c r="H113" s="96">
        <f>(26+320)/1000</f>
        <v>0.346</v>
      </c>
      <c r="I113" s="96">
        <f>(26+280)/1000</f>
        <v>0.306</v>
      </c>
      <c r="J113" s="96">
        <f>(26+325)/1000</f>
        <v>0.351</v>
      </c>
      <c r="K113" s="96">
        <f>(26+280)/1000</f>
        <v>0.306</v>
      </c>
      <c r="L113" s="96">
        <f>(26+330)/1000</f>
        <v>0.356</v>
      </c>
    </row>
    <row r="114" spans="2:12" ht="18">
      <c r="B114" s="2"/>
      <c r="C114" s="1"/>
      <c r="D114" s="92"/>
      <c r="E114" s="93"/>
      <c r="F114" s="93"/>
      <c r="G114" s="93"/>
      <c r="H114" s="93"/>
      <c r="I114" s="93"/>
      <c r="J114" s="93"/>
      <c r="K114" s="93"/>
      <c r="L114" s="93"/>
    </row>
    <row r="115" spans="2:12" ht="18">
      <c r="B115" s="32"/>
      <c r="C115" s="33"/>
      <c r="D115" s="56"/>
      <c r="E115" s="57"/>
      <c r="F115" s="57"/>
      <c r="G115" s="57"/>
      <c r="H115" s="81"/>
      <c r="I115" s="57"/>
      <c r="J115" s="57"/>
      <c r="K115" s="57"/>
      <c r="L115" s="57"/>
    </row>
    <row r="116" spans="2:13" ht="60.75" customHeight="1">
      <c r="B116" s="35" t="s">
        <v>137</v>
      </c>
      <c r="C116" s="36" t="s">
        <v>120</v>
      </c>
      <c r="D116" s="58"/>
      <c r="E116" s="59"/>
      <c r="F116" s="59"/>
      <c r="G116" s="59"/>
      <c r="H116" s="59"/>
      <c r="I116" s="59"/>
      <c r="J116" s="59"/>
      <c r="K116" s="59"/>
      <c r="L116" s="59"/>
      <c r="M116" s="5"/>
    </row>
    <row r="117" spans="2:12" ht="18">
      <c r="B117" s="37"/>
      <c r="C117" s="38"/>
      <c r="D117" s="60"/>
      <c r="E117" s="61"/>
      <c r="F117" s="62"/>
      <c r="G117" s="62"/>
      <c r="H117" s="62"/>
      <c r="I117" s="62"/>
      <c r="J117" s="62"/>
      <c r="K117" s="62"/>
      <c r="L117" s="62"/>
    </row>
    <row r="118" spans="2:12" s="8" customFormat="1" ht="18">
      <c r="B118" s="39"/>
      <c r="C118" s="40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2:12" s="8" customFormat="1" ht="18">
      <c r="B119" s="39"/>
      <c r="C119" s="34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2:12" s="8" customFormat="1" ht="18">
      <c r="B120" s="39"/>
      <c r="C120" s="34"/>
      <c r="D120" s="63"/>
      <c r="E120" s="59"/>
      <c r="F120" s="59"/>
      <c r="G120" s="59"/>
      <c r="H120" s="59"/>
      <c r="I120" s="59"/>
      <c r="J120" s="59"/>
      <c r="K120" s="59"/>
      <c r="L120" s="59"/>
    </row>
    <row r="121" spans="2:12" s="8" customFormat="1" ht="18">
      <c r="B121" s="41"/>
      <c r="C121" s="40"/>
      <c r="D121" s="64"/>
      <c r="E121" s="65"/>
      <c r="F121" s="65"/>
      <c r="G121" s="65"/>
      <c r="H121" s="65"/>
      <c r="I121" s="65"/>
      <c r="J121" s="65"/>
      <c r="K121" s="65"/>
      <c r="L121" s="65"/>
    </row>
    <row r="122" spans="2:12" s="8" customFormat="1" ht="18">
      <c r="B122" s="41"/>
      <c r="C122" s="40"/>
      <c r="D122" s="66"/>
      <c r="E122" s="59"/>
      <c r="F122" s="59"/>
      <c r="G122" s="59"/>
      <c r="H122" s="59"/>
      <c r="I122" s="59"/>
      <c r="J122" s="59"/>
      <c r="K122" s="59"/>
      <c r="L122" s="59"/>
    </row>
    <row r="123" spans="2:12" s="8" customFormat="1" ht="18">
      <c r="B123" s="5"/>
      <c r="C123" s="34"/>
      <c r="D123" s="58"/>
      <c r="E123" s="59"/>
      <c r="F123" s="59"/>
      <c r="G123" s="59"/>
      <c r="H123" s="59"/>
      <c r="I123" s="59"/>
      <c r="J123" s="59"/>
      <c r="K123" s="59"/>
      <c r="L123" s="59"/>
    </row>
    <row r="124" spans="2:12" s="8" customFormat="1" ht="39.75" customHeight="1">
      <c r="B124" s="39"/>
      <c r="C124" s="34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2:12" s="8" customFormat="1" ht="18">
      <c r="B125" s="41"/>
      <c r="C125" s="42"/>
      <c r="D125" s="67"/>
      <c r="E125" s="59"/>
      <c r="F125" s="59"/>
      <c r="G125" s="59"/>
      <c r="H125" s="59"/>
      <c r="I125" s="59"/>
      <c r="J125" s="59"/>
      <c r="K125" s="59"/>
      <c r="L125" s="59"/>
    </row>
    <row r="126" spans="2:12" s="8" customFormat="1" ht="18">
      <c r="B126" s="41"/>
      <c r="C126" s="42"/>
      <c r="D126" s="67"/>
      <c r="E126" s="59"/>
      <c r="F126" s="59"/>
      <c r="G126" s="59"/>
      <c r="H126" s="59"/>
      <c r="I126" s="59"/>
      <c r="J126" s="59"/>
      <c r="K126" s="59"/>
      <c r="L126" s="59"/>
    </row>
    <row r="127" spans="2:12" s="8" customFormat="1" ht="18">
      <c r="B127" s="39"/>
      <c r="C127" s="34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2:12" s="8" customFormat="1" ht="18">
      <c r="B128" s="39"/>
      <c r="C128" s="34"/>
      <c r="D128" s="58"/>
      <c r="E128" s="59"/>
      <c r="F128" s="59"/>
      <c r="G128" s="59"/>
      <c r="H128" s="59"/>
      <c r="I128" s="59"/>
      <c r="J128" s="59"/>
      <c r="K128" s="59"/>
      <c r="L128" s="59"/>
    </row>
    <row r="129" spans="2:12" s="8" customFormat="1" ht="18">
      <c r="B129" s="39"/>
      <c r="C129" s="34"/>
      <c r="D129" s="58"/>
      <c r="E129" s="59"/>
      <c r="F129" s="59"/>
      <c r="G129" s="59"/>
      <c r="H129" s="59"/>
      <c r="I129" s="59"/>
      <c r="J129" s="59"/>
      <c r="K129" s="59"/>
      <c r="L129" s="59"/>
    </row>
    <row r="130" spans="2:12" s="8" customFormat="1" ht="18">
      <c r="B130" s="39"/>
      <c r="C130" s="34"/>
      <c r="D130" s="58"/>
      <c r="E130" s="59"/>
      <c r="F130" s="59"/>
      <c r="G130" s="59"/>
      <c r="H130" s="59"/>
      <c r="I130" s="59"/>
      <c r="J130" s="59"/>
      <c r="K130" s="59"/>
      <c r="L130" s="59"/>
    </row>
    <row r="131" spans="2:12" s="8" customFormat="1" ht="18">
      <c r="B131" s="43"/>
      <c r="C131" s="42"/>
      <c r="D131" s="67"/>
      <c r="E131" s="59"/>
      <c r="F131" s="59"/>
      <c r="G131" s="59"/>
      <c r="H131" s="59"/>
      <c r="I131" s="59"/>
      <c r="J131" s="59"/>
      <c r="K131" s="59"/>
      <c r="L131" s="59"/>
    </row>
    <row r="132" spans="2:12" s="8" customFormat="1" ht="18">
      <c r="B132" s="41"/>
      <c r="C132" s="42"/>
      <c r="D132" s="67"/>
      <c r="E132" s="59"/>
      <c r="F132" s="59"/>
      <c r="G132" s="59"/>
      <c r="H132" s="59"/>
      <c r="I132" s="59"/>
      <c r="J132" s="59"/>
      <c r="K132" s="59"/>
      <c r="L132" s="59"/>
    </row>
    <row r="133" spans="2:12" s="8" customFormat="1" ht="18">
      <c r="B133" s="41"/>
      <c r="C133" s="42"/>
      <c r="D133" s="67"/>
      <c r="E133" s="59"/>
      <c r="F133" s="59"/>
      <c r="G133" s="59"/>
      <c r="H133" s="59"/>
      <c r="I133" s="59"/>
      <c r="J133" s="59"/>
      <c r="K133" s="59"/>
      <c r="L133" s="59"/>
    </row>
    <row r="134" spans="2:12" s="8" customFormat="1" ht="18">
      <c r="B134" s="41"/>
      <c r="C134" s="42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2:12" s="8" customFormat="1" ht="18">
      <c r="B135" s="43"/>
      <c r="C135" s="42"/>
      <c r="D135" s="67"/>
      <c r="E135" s="59"/>
      <c r="F135" s="59"/>
      <c r="G135" s="59"/>
      <c r="H135" s="59"/>
      <c r="I135" s="59"/>
      <c r="J135" s="59"/>
      <c r="K135" s="59"/>
      <c r="L135" s="59"/>
    </row>
    <row r="136" spans="2:12" s="8" customFormat="1" ht="18">
      <c r="B136" s="41"/>
      <c r="C136" s="40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2:12" s="8" customFormat="1" ht="18">
      <c r="B137" s="41"/>
      <c r="C137" s="40"/>
      <c r="D137" s="68"/>
      <c r="E137" s="59"/>
      <c r="F137" s="59"/>
      <c r="G137" s="59"/>
      <c r="H137" s="59"/>
      <c r="I137" s="59"/>
      <c r="J137" s="59"/>
      <c r="K137" s="59"/>
      <c r="L137" s="59"/>
    </row>
    <row r="138" spans="2:12" s="8" customFormat="1" ht="18">
      <c r="B138" s="41"/>
      <c r="C138" s="42"/>
      <c r="D138" s="67"/>
      <c r="E138" s="59"/>
      <c r="F138" s="59"/>
      <c r="G138" s="59"/>
      <c r="H138" s="59"/>
      <c r="I138" s="59"/>
      <c r="J138" s="59"/>
      <c r="K138" s="59"/>
      <c r="L138" s="59"/>
    </row>
    <row r="139" spans="2:12" s="8" customFormat="1" ht="18">
      <c r="B139" s="41"/>
      <c r="C139" s="42"/>
      <c r="D139" s="67"/>
      <c r="E139" s="59"/>
      <c r="F139" s="59"/>
      <c r="G139" s="59"/>
      <c r="H139" s="59"/>
      <c r="I139" s="59"/>
      <c r="J139" s="59"/>
      <c r="K139" s="59"/>
      <c r="L139" s="59"/>
    </row>
    <row r="140" spans="2:12" s="8" customFormat="1" ht="18">
      <c r="B140" s="43"/>
      <c r="C140" s="40"/>
      <c r="D140" s="68"/>
      <c r="E140" s="59"/>
      <c r="F140" s="59"/>
      <c r="G140" s="59"/>
      <c r="H140" s="59"/>
      <c r="I140" s="59"/>
      <c r="J140" s="59"/>
      <c r="K140" s="59"/>
      <c r="L140" s="59"/>
    </row>
    <row r="141" spans="2:12" s="8" customFormat="1" ht="18">
      <c r="B141" s="41"/>
      <c r="C141" s="42"/>
      <c r="D141" s="67"/>
      <c r="E141" s="59"/>
      <c r="F141" s="59"/>
      <c r="G141" s="59"/>
      <c r="H141" s="59"/>
      <c r="I141" s="59"/>
      <c r="J141" s="59"/>
      <c r="K141" s="59"/>
      <c r="L141" s="59"/>
    </row>
    <row r="142" spans="2:12" s="8" customFormat="1" ht="18">
      <c r="B142" s="41"/>
      <c r="C142" s="42"/>
      <c r="D142" s="67"/>
      <c r="E142" s="59"/>
      <c r="F142" s="59"/>
      <c r="G142" s="59"/>
      <c r="H142" s="59"/>
      <c r="I142" s="59"/>
      <c r="J142" s="59"/>
      <c r="K142" s="59"/>
      <c r="L142" s="59"/>
    </row>
    <row r="143" spans="2:12" s="8" customFormat="1" ht="18">
      <c r="B143" s="41"/>
      <c r="C143" s="42"/>
      <c r="D143" s="67"/>
      <c r="E143" s="69"/>
      <c r="F143" s="69"/>
      <c r="G143" s="69"/>
      <c r="H143" s="69"/>
      <c r="I143" s="69"/>
      <c r="J143" s="69"/>
      <c r="K143" s="69"/>
      <c r="L143" s="69"/>
    </row>
    <row r="144" spans="2:12" s="8" customFormat="1" ht="18">
      <c r="B144" s="41"/>
      <c r="C144" s="34"/>
      <c r="D144" s="58"/>
      <c r="E144" s="59"/>
      <c r="F144" s="59"/>
      <c r="G144" s="59"/>
      <c r="H144" s="59"/>
      <c r="I144" s="59"/>
      <c r="J144" s="59"/>
      <c r="K144" s="59"/>
      <c r="L144" s="59"/>
    </row>
    <row r="145" spans="2:12" s="8" customFormat="1" ht="18">
      <c r="B145" s="39"/>
      <c r="C145" s="34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2:12" s="8" customFormat="1" ht="18">
      <c r="B146" s="5"/>
      <c r="C146" s="34"/>
      <c r="D146" s="58"/>
      <c r="E146" s="59"/>
      <c r="F146" s="59"/>
      <c r="G146" s="59"/>
      <c r="H146" s="59"/>
      <c r="I146" s="59"/>
      <c r="J146" s="59"/>
      <c r="K146" s="59"/>
      <c r="L146" s="59"/>
    </row>
    <row r="147" spans="2:12" s="8" customFormat="1" ht="18">
      <c r="B147" s="39"/>
      <c r="C147" s="34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2:12" s="8" customFormat="1" ht="18">
      <c r="B148" s="39"/>
      <c r="C148" s="34"/>
      <c r="D148" s="58"/>
      <c r="E148" s="59"/>
      <c r="F148" s="59"/>
      <c r="G148" s="59"/>
      <c r="H148" s="59"/>
      <c r="I148" s="59"/>
      <c r="J148" s="59"/>
      <c r="K148" s="59"/>
      <c r="L148" s="59"/>
    </row>
    <row r="149" spans="2:12" s="8" customFormat="1" ht="18">
      <c r="B149" s="5"/>
      <c r="C149" s="34"/>
      <c r="D149" s="58"/>
      <c r="E149" s="59"/>
      <c r="F149" s="59"/>
      <c r="G149" s="59"/>
      <c r="H149" s="59"/>
      <c r="I149" s="59"/>
      <c r="J149" s="59"/>
      <c r="K149" s="59"/>
      <c r="L149" s="59"/>
    </row>
    <row r="150" spans="2:12" s="8" customFormat="1" ht="18">
      <c r="B150" s="39"/>
      <c r="C150" s="34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2:12" s="8" customFormat="1" ht="18">
      <c r="B151" s="39"/>
      <c r="C151" s="34"/>
      <c r="D151" s="58"/>
      <c r="E151" s="59"/>
      <c r="F151" s="59"/>
      <c r="G151" s="59"/>
      <c r="H151" s="59"/>
      <c r="I151" s="59"/>
      <c r="J151" s="59"/>
      <c r="K151" s="59"/>
      <c r="L151" s="59"/>
    </row>
    <row r="152" spans="2:12" s="8" customFormat="1" ht="18">
      <c r="B152" s="41"/>
      <c r="C152" s="34"/>
      <c r="D152" s="58"/>
      <c r="E152" s="59"/>
      <c r="F152" s="59"/>
      <c r="G152" s="59"/>
      <c r="H152" s="59"/>
      <c r="I152" s="59"/>
      <c r="J152" s="59"/>
      <c r="K152" s="59"/>
      <c r="L152" s="59"/>
    </row>
    <row r="153" spans="2:12" s="8" customFormat="1" ht="18">
      <c r="B153" s="41"/>
      <c r="C153" s="34"/>
      <c r="D153" s="58"/>
      <c r="E153" s="59"/>
      <c r="F153" s="59"/>
      <c r="G153" s="59"/>
      <c r="H153" s="59"/>
      <c r="I153" s="59"/>
      <c r="J153" s="59"/>
      <c r="K153" s="59"/>
      <c r="L153" s="59"/>
    </row>
    <row r="154" spans="2:12" s="8" customFormat="1" ht="18">
      <c r="B154" s="41"/>
      <c r="C154" s="34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2:12" s="8" customFormat="1" ht="18">
      <c r="B155" s="41"/>
      <c r="C155" s="34"/>
      <c r="D155" s="58"/>
      <c r="E155" s="59"/>
      <c r="F155" s="59"/>
      <c r="G155" s="59"/>
      <c r="H155" s="59"/>
      <c r="I155" s="59"/>
      <c r="J155" s="59"/>
      <c r="K155" s="59"/>
      <c r="L155" s="59"/>
    </row>
    <row r="156" spans="2:12" s="8" customFormat="1" ht="18">
      <c r="B156" s="41"/>
      <c r="C156" s="34"/>
      <c r="D156" s="58"/>
      <c r="E156" s="59"/>
      <c r="F156" s="59"/>
      <c r="G156" s="59"/>
      <c r="H156" s="59"/>
      <c r="I156" s="59"/>
      <c r="J156" s="59"/>
      <c r="K156" s="59"/>
      <c r="L156" s="59"/>
    </row>
    <row r="157" spans="2:12" s="8" customFormat="1" ht="18">
      <c r="B157" s="41"/>
      <c r="C157" s="34"/>
      <c r="D157" s="58"/>
      <c r="E157" s="59"/>
      <c r="F157" s="59"/>
      <c r="G157" s="59"/>
      <c r="H157" s="59"/>
      <c r="I157" s="59"/>
      <c r="J157" s="59"/>
      <c r="K157" s="59"/>
      <c r="L157" s="59"/>
    </row>
    <row r="158" spans="2:12" s="8" customFormat="1" ht="18">
      <c r="B158" s="41"/>
      <c r="C158" s="34"/>
      <c r="D158" s="58"/>
      <c r="E158" s="59"/>
      <c r="F158" s="59"/>
      <c r="G158" s="59"/>
      <c r="H158" s="59"/>
      <c r="I158" s="59"/>
      <c r="J158" s="59"/>
      <c r="K158" s="59"/>
      <c r="L158" s="59"/>
    </row>
    <row r="159" spans="2:12" s="8" customFormat="1" ht="18">
      <c r="B159" s="39"/>
      <c r="C159" s="34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2:12" s="8" customFormat="1" ht="18">
      <c r="B160" s="39"/>
      <c r="C160" s="34"/>
      <c r="D160" s="58"/>
      <c r="E160" s="59"/>
      <c r="F160" s="59"/>
      <c r="G160" s="59"/>
      <c r="H160" s="59"/>
      <c r="I160" s="59"/>
      <c r="J160" s="59"/>
      <c r="K160" s="59"/>
      <c r="L160" s="59"/>
    </row>
    <row r="161" spans="2:12" s="8" customFormat="1" ht="18">
      <c r="B161" s="41"/>
      <c r="C161" s="34"/>
      <c r="D161" s="58"/>
      <c r="E161" s="59"/>
      <c r="F161" s="59"/>
      <c r="G161" s="59"/>
      <c r="H161" s="59"/>
      <c r="I161" s="59"/>
      <c r="J161" s="59"/>
      <c r="K161" s="59"/>
      <c r="L161" s="59"/>
    </row>
    <row r="162" spans="2:12" s="8" customFormat="1" ht="18">
      <c r="B162" s="41"/>
      <c r="C162" s="34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2:12" s="8" customFormat="1" ht="18">
      <c r="B163" s="41"/>
      <c r="C163" s="34"/>
      <c r="D163" s="58"/>
      <c r="E163" s="59"/>
      <c r="F163" s="59"/>
      <c r="G163" s="59"/>
      <c r="H163" s="59"/>
      <c r="I163" s="59"/>
      <c r="J163" s="59"/>
      <c r="K163" s="59"/>
      <c r="L163" s="59"/>
    </row>
    <row r="164" spans="2:12" s="8" customFormat="1" ht="18">
      <c r="B164" s="41"/>
      <c r="C164" s="34"/>
      <c r="D164" s="58"/>
      <c r="E164" s="59"/>
      <c r="F164" s="59"/>
      <c r="G164" s="59"/>
      <c r="H164" s="59"/>
      <c r="I164" s="59"/>
      <c r="J164" s="59"/>
      <c r="K164" s="59"/>
      <c r="L164" s="59"/>
    </row>
    <row r="165" spans="2:12" s="8" customFormat="1" ht="18">
      <c r="B165" s="41"/>
      <c r="C165" s="34"/>
      <c r="D165" s="70"/>
      <c r="E165" s="58"/>
      <c r="F165" s="59"/>
      <c r="G165" s="59"/>
      <c r="H165" s="59"/>
      <c r="I165" s="59"/>
      <c r="J165" s="59"/>
      <c r="K165" s="59"/>
      <c r="L165" s="59"/>
    </row>
    <row r="166" spans="2:12" s="8" customFormat="1" ht="18">
      <c r="B166" s="5"/>
      <c r="C166" s="34"/>
      <c r="D166" s="58"/>
      <c r="E166" s="59"/>
      <c r="F166" s="59"/>
      <c r="G166" s="59"/>
      <c r="H166" s="59"/>
      <c r="I166" s="59"/>
      <c r="J166" s="59"/>
      <c r="K166" s="59"/>
      <c r="L166" s="59"/>
    </row>
    <row r="167" spans="2:12" s="8" customFormat="1" ht="18">
      <c r="B167" s="39"/>
      <c r="C167" s="34"/>
      <c r="D167" s="58"/>
      <c r="E167" s="59"/>
      <c r="F167" s="59"/>
      <c r="G167" s="59"/>
      <c r="H167" s="59"/>
      <c r="I167" s="59"/>
      <c r="J167" s="59"/>
      <c r="K167" s="59"/>
      <c r="L167" s="59"/>
    </row>
    <row r="168" spans="2:12" s="8" customFormat="1" ht="18">
      <c r="B168" s="39"/>
      <c r="C168" s="34"/>
      <c r="D168" s="58"/>
      <c r="E168" s="59"/>
      <c r="F168" s="59"/>
      <c r="G168" s="59"/>
      <c r="H168" s="59"/>
      <c r="I168" s="59"/>
      <c r="J168" s="59"/>
      <c r="K168" s="59"/>
      <c r="L168" s="59"/>
    </row>
    <row r="169" spans="2:12" s="8" customFormat="1" ht="18">
      <c r="B169" s="41"/>
      <c r="C169" s="34"/>
      <c r="D169" s="58"/>
      <c r="E169" s="59"/>
      <c r="F169" s="59"/>
      <c r="G169" s="59"/>
      <c r="H169" s="59"/>
      <c r="I169" s="59"/>
      <c r="J169" s="59"/>
      <c r="K169" s="59"/>
      <c r="L169" s="59"/>
    </row>
    <row r="170" spans="2:12" s="8" customFormat="1" ht="18">
      <c r="B170" s="41"/>
      <c r="C170" s="34"/>
      <c r="D170" s="58"/>
      <c r="E170" s="59"/>
      <c r="F170" s="59"/>
      <c r="G170" s="59"/>
      <c r="H170" s="59"/>
      <c r="I170" s="59"/>
      <c r="J170" s="59"/>
      <c r="K170" s="59"/>
      <c r="L170" s="59"/>
    </row>
    <row r="171" spans="2:12" s="8" customFormat="1" ht="18">
      <c r="B171" s="41"/>
      <c r="C171" s="34"/>
      <c r="D171" s="58"/>
      <c r="E171" s="59"/>
      <c r="F171" s="59"/>
      <c r="G171" s="59"/>
      <c r="H171" s="59"/>
      <c r="I171" s="59"/>
      <c r="J171" s="59"/>
      <c r="K171" s="59"/>
      <c r="L171" s="59"/>
    </row>
    <row r="172" spans="2:12" s="8" customFormat="1" ht="18">
      <c r="B172" s="41"/>
      <c r="C172" s="34"/>
      <c r="D172" s="58"/>
      <c r="E172" s="59"/>
      <c r="F172" s="59"/>
      <c r="G172" s="59"/>
      <c r="H172" s="59"/>
      <c r="I172" s="59"/>
      <c r="J172" s="59"/>
      <c r="K172" s="59"/>
      <c r="L172" s="59"/>
    </row>
    <row r="173" spans="2:12" s="8" customFormat="1" ht="18">
      <c r="B173" s="41"/>
      <c r="C173" s="34"/>
      <c r="D173" s="58"/>
      <c r="E173" s="59"/>
      <c r="F173" s="59"/>
      <c r="G173" s="59"/>
      <c r="H173" s="59"/>
      <c r="I173" s="59"/>
      <c r="J173" s="59"/>
      <c r="K173" s="59"/>
      <c r="L173" s="59"/>
    </row>
    <row r="174" spans="2:12" s="8" customFormat="1" ht="18">
      <c r="B174" s="41"/>
      <c r="C174" s="34"/>
      <c r="D174" s="58"/>
      <c r="E174" s="59"/>
      <c r="F174" s="59"/>
      <c r="G174" s="59"/>
      <c r="H174" s="59"/>
      <c r="I174" s="59"/>
      <c r="J174" s="59"/>
      <c r="K174" s="59"/>
      <c r="L174" s="59"/>
    </row>
    <row r="175" spans="2:12" s="8" customFormat="1" ht="18">
      <c r="B175" s="39"/>
      <c r="C175" s="34"/>
      <c r="D175" s="58"/>
      <c r="E175" s="59"/>
      <c r="F175" s="59"/>
      <c r="G175" s="59"/>
      <c r="H175" s="59"/>
      <c r="I175" s="59"/>
      <c r="J175" s="59"/>
      <c r="K175" s="59"/>
      <c r="L175" s="59"/>
    </row>
    <row r="176" spans="2:12" s="8" customFormat="1" ht="18">
      <c r="B176" s="39"/>
      <c r="C176" s="34"/>
      <c r="D176" s="58"/>
      <c r="E176" s="59"/>
      <c r="F176" s="59"/>
      <c r="G176" s="59"/>
      <c r="H176" s="59"/>
      <c r="I176" s="59"/>
      <c r="J176" s="59"/>
      <c r="K176" s="59"/>
      <c r="L176" s="59"/>
    </row>
    <row r="177" spans="2:12" s="8" customFormat="1" ht="18">
      <c r="B177" s="41"/>
      <c r="C177" s="34"/>
      <c r="D177" s="58"/>
      <c r="E177" s="59"/>
      <c r="F177" s="59"/>
      <c r="G177" s="59"/>
      <c r="H177" s="59"/>
      <c r="I177" s="59"/>
      <c r="J177" s="59"/>
      <c r="K177" s="59"/>
      <c r="L177" s="59"/>
    </row>
    <row r="178" spans="2:12" s="8" customFormat="1" ht="18">
      <c r="B178" s="41"/>
      <c r="C178" s="34"/>
      <c r="D178" s="58"/>
      <c r="E178" s="59"/>
      <c r="F178" s="59"/>
      <c r="G178" s="59"/>
      <c r="H178" s="59"/>
      <c r="I178" s="59"/>
      <c r="J178" s="59"/>
      <c r="K178" s="59"/>
      <c r="L178" s="59"/>
    </row>
    <row r="179" spans="2:12" s="8" customFormat="1" ht="18">
      <c r="B179" s="41"/>
      <c r="C179" s="34"/>
      <c r="D179" s="58"/>
      <c r="E179" s="59"/>
      <c r="F179" s="59"/>
      <c r="G179" s="59"/>
      <c r="H179" s="59"/>
      <c r="I179" s="59"/>
      <c r="J179" s="59"/>
      <c r="K179" s="59"/>
      <c r="L179" s="59"/>
    </row>
    <row r="180" spans="2:12" s="8" customFormat="1" ht="18">
      <c r="B180" s="41"/>
      <c r="C180" s="34"/>
      <c r="D180" s="58"/>
      <c r="E180" s="59"/>
      <c r="F180" s="59"/>
      <c r="G180" s="59"/>
      <c r="H180" s="59"/>
      <c r="I180" s="59"/>
      <c r="J180" s="59"/>
      <c r="K180" s="59"/>
      <c r="L180" s="59"/>
    </row>
    <row r="181" spans="2:12" s="8" customFormat="1" ht="18">
      <c r="B181" s="41"/>
      <c r="C181" s="34"/>
      <c r="D181" s="58"/>
      <c r="E181" s="59"/>
      <c r="F181" s="59"/>
      <c r="G181" s="59"/>
      <c r="H181" s="59"/>
      <c r="I181" s="59"/>
      <c r="J181" s="59"/>
      <c r="K181" s="59"/>
      <c r="L181" s="59"/>
    </row>
    <row r="182" spans="2:12" s="44" customFormat="1" ht="18">
      <c r="B182" s="5"/>
      <c r="C182" s="34"/>
      <c r="D182" s="58"/>
      <c r="E182" s="59"/>
      <c r="F182" s="59"/>
      <c r="G182" s="59"/>
      <c r="H182" s="59"/>
      <c r="I182" s="59"/>
      <c r="J182" s="59"/>
      <c r="K182" s="59"/>
      <c r="L182" s="59"/>
    </row>
    <row r="183" spans="2:12" s="8" customFormat="1" ht="40.5" customHeight="1">
      <c r="B183" s="39"/>
      <c r="C183" s="34"/>
      <c r="D183" s="58"/>
      <c r="E183" s="71"/>
      <c r="F183" s="71"/>
      <c r="G183" s="71"/>
      <c r="H183" s="59"/>
      <c r="I183" s="71"/>
      <c r="J183" s="59"/>
      <c r="K183" s="71"/>
      <c r="L183" s="59"/>
    </row>
    <row r="184" spans="2:12" s="8" customFormat="1" ht="18">
      <c r="B184" s="39"/>
      <c r="C184" s="40"/>
      <c r="D184" s="72"/>
      <c r="E184" s="73"/>
      <c r="F184" s="73"/>
      <c r="G184" s="73"/>
      <c r="H184" s="73"/>
      <c r="I184" s="73"/>
      <c r="J184" s="73"/>
      <c r="K184" s="73"/>
      <c r="L184" s="73"/>
    </row>
    <row r="185" spans="2:12" s="8" customFormat="1" ht="18">
      <c r="B185" s="39"/>
      <c r="C185" s="34"/>
      <c r="D185" s="74"/>
      <c r="E185" s="73"/>
      <c r="F185" s="73"/>
      <c r="G185" s="73"/>
      <c r="H185" s="73"/>
      <c r="I185" s="73"/>
      <c r="J185" s="73"/>
      <c r="K185" s="73"/>
      <c r="L185" s="73"/>
    </row>
    <row r="186" spans="2:12" s="8" customFormat="1" ht="18">
      <c r="B186" s="5"/>
      <c r="C186" s="34"/>
      <c r="D186" s="58"/>
      <c r="E186" s="59"/>
      <c r="F186" s="59"/>
      <c r="G186" s="59"/>
      <c r="H186" s="59"/>
      <c r="I186" s="59"/>
      <c r="J186" s="59"/>
      <c r="K186" s="59"/>
      <c r="L186" s="59"/>
    </row>
    <row r="187" spans="2:14" s="8" customFormat="1" ht="18">
      <c r="B187" s="41"/>
      <c r="C187" s="34"/>
      <c r="D187" s="58"/>
      <c r="E187" s="59"/>
      <c r="F187" s="59"/>
      <c r="G187" s="59"/>
      <c r="H187" s="59"/>
      <c r="I187" s="59"/>
      <c r="J187" s="59"/>
      <c r="K187" s="59"/>
      <c r="L187" s="59"/>
      <c r="M187" s="7"/>
      <c r="N187" s="7"/>
    </row>
    <row r="188" spans="2:12" s="8" customFormat="1" ht="18">
      <c r="B188" s="41"/>
      <c r="C188" s="34"/>
      <c r="D188" s="58"/>
      <c r="E188" s="59"/>
      <c r="F188" s="59"/>
      <c r="G188" s="59"/>
      <c r="H188" s="59"/>
      <c r="I188" s="59"/>
      <c r="J188" s="59"/>
      <c r="K188" s="59"/>
      <c r="L188" s="59"/>
    </row>
    <row r="189" spans="2:12" s="8" customFormat="1" ht="18">
      <c r="B189" s="39"/>
      <c r="C189" s="34"/>
      <c r="D189" s="58"/>
      <c r="E189" s="59"/>
      <c r="F189" s="59"/>
      <c r="G189" s="59"/>
      <c r="H189" s="59"/>
      <c r="I189" s="59"/>
      <c r="J189" s="59"/>
      <c r="K189" s="59"/>
      <c r="L189" s="59"/>
    </row>
    <row r="190" spans="2:12" s="8" customFormat="1" ht="18">
      <c r="B190" s="39"/>
      <c r="C190" s="34"/>
      <c r="D190" s="58"/>
      <c r="E190" s="59"/>
      <c r="F190" s="59"/>
      <c r="G190" s="59"/>
      <c r="H190" s="59"/>
      <c r="I190" s="59"/>
      <c r="J190" s="59"/>
      <c r="K190" s="59"/>
      <c r="L190" s="59"/>
    </row>
    <row r="191" spans="2:12" s="8" customFormat="1" ht="18">
      <c r="B191" s="39"/>
      <c r="C191" s="34"/>
      <c r="D191" s="58"/>
      <c r="E191" s="59"/>
      <c r="F191" s="59"/>
      <c r="G191" s="59"/>
      <c r="H191" s="59"/>
      <c r="I191" s="59"/>
      <c r="J191" s="59"/>
      <c r="K191" s="59"/>
      <c r="L191" s="59"/>
    </row>
    <row r="192" spans="2:12" s="8" customFormat="1" ht="18">
      <c r="B192" s="39"/>
      <c r="C192" s="34"/>
      <c r="D192" s="58"/>
      <c r="E192" s="59"/>
      <c r="F192" s="59"/>
      <c r="G192" s="59"/>
      <c r="H192" s="59"/>
      <c r="I192" s="59"/>
      <c r="J192" s="59"/>
      <c r="K192" s="59"/>
      <c r="L192" s="59"/>
    </row>
    <row r="193" spans="2:12" s="8" customFormat="1" ht="18">
      <c r="B193" s="43"/>
      <c r="C193" s="34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2:12" s="8" customFormat="1" ht="18">
      <c r="B194" s="41"/>
      <c r="C194" s="34"/>
      <c r="D194" s="58"/>
      <c r="E194" s="59"/>
      <c r="F194" s="59"/>
      <c r="G194" s="59"/>
      <c r="H194" s="59"/>
      <c r="I194" s="59"/>
      <c r="J194" s="59"/>
      <c r="K194" s="59"/>
      <c r="L194" s="59"/>
    </row>
    <row r="195" spans="2:12" s="8" customFormat="1" ht="18">
      <c r="B195" s="41"/>
      <c r="C195" s="34"/>
      <c r="D195" s="58"/>
      <c r="E195" s="59"/>
      <c r="F195" s="59"/>
      <c r="G195" s="59"/>
      <c r="H195" s="59"/>
      <c r="I195" s="59"/>
      <c r="J195" s="59"/>
      <c r="K195" s="59"/>
      <c r="L195" s="59"/>
    </row>
    <row r="196" spans="2:12" s="8" customFormat="1" ht="18">
      <c r="B196" s="39"/>
      <c r="C196" s="34"/>
      <c r="D196" s="58"/>
      <c r="E196" s="59"/>
      <c r="F196" s="59"/>
      <c r="G196" s="59"/>
      <c r="H196" s="59"/>
      <c r="I196" s="59"/>
      <c r="J196" s="59"/>
      <c r="K196" s="59"/>
      <c r="L196" s="59"/>
    </row>
    <row r="197" spans="2:12" s="8" customFormat="1" ht="18">
      <c r="B197" s="39"/>
      <c r="C197" s="34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2:12" s="8" customFormat="1" ht="18">
      <c r="B198" s="39"/>
      <c r="C198" s="34"/>
      <c r="D198" s="58"/>
      <c r="E198" s="59"/>
      <c r="F198" s="59"/>
      <c r="G198" s="59"/>
      <c r="H198" s="59"/>
      <c r="I198" s="59"/>
      <c r="J198" s="59"/>
      <c r="K198" s="59"/>
      <c r="L198" s="59"/>
    </row>
    <row r="199" spans="2:12" s="8" customFormat="1" ht="18">
      <c r="B199" s="39"/>
      <c r="C199" s="34"/>
      <c r="D199" s="58"/>
      <c r="E199" s="59"/>
      <c r="F199" s="59"/>
      <c r="G199" s="59"/>
      <c r="H199" s="59"/>
      <c r="I199" s="59"/>
      <c r="J199" s="59"/>
      <c r="K199" s="59"/>
      <c r="L199" s="59"/>
    </row>
    <row r="200" spans="2:12" s="8" customFormat="1" ht="18">
      <c r="B200" s="39"/>
      <c r="C200" s="34"/>
      <c r="D200" s="58"/>
      <c r="E200" s="59"/>
      <c r="F200" s="59"/>
      <c r="G200" s="59"/>
      <c r="H200" s="59"/>
      <c r="I200" s="59"/>
      <c r="J200" s="70"/>
      <c r="K200" s="59"/>
      <c r="L200" s="59"/>
    </row>
    <row r="201" spans="2:12" s="8" customFormat="1" ht="18">
      <c r="B201" s="41"/>
      <c r="C201" s="34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2:12" s="8" customFormat="1" ht="18">
      <c r="B202" s="41"/>
      <c r="C202" s="34"/>
      <c r="D202" s="58"/>
      <c r="E202" s="59"/>
      <c r="F202" s="59"/>
      <c r="G202" s="59"/>
      <c r="H202" s="59"/>
      <c r="I202" s="59"/>
      <c r="J202" s="59"/>
      <c r="K202" s="59"/>
      <c r="L202" s="59"/>
    </row>
    <row r="203" spans="2:12" s="8" customFormat="1" ht="18">
      <c r="B203" s="41"/>
      <c r="C203" s="34"/>
      <c r="D203" s="58"/>
      <c r="E203" s="59"/>
      <c r="F203" s="59"/>
      <c r="G203" s="59"/>
      <c r="H203" s="59"/>
      <c r="I203" s="59"/>
      <c r="J203" s="59"/>
      <c r="K203" s="59"/>
      <c r="L203" s="59"/>
    </row>
    <row r="204" spans="2:12" s="8" customFormat="1" ht="18">
      <c r="B204" s="39"/>
      <c r="C204" s="34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2:12" s="8" customFormat="1" ht="38.25" customHeight="1">
      <c r="B205" s="41"/>
      <c r="C205" s="34"/>
      <c r="D205" s="58"/>
      <c r="E205" s="59"/>
      <c r="F205" s="59"/>
      <c r="G205" s="59"/>
      <c r="H205" s="59"/>
      <c r="I205" s="59"/>
      <c r="J205" s="59"/>
      <c r="K205" s="59"/>
      <c r="L205" s="59"/>
    </row>
    <row r="206" spans="2:12" s="8" customFormat="1" ht="18">
      <c r="B206" s="41"/>
      <c r="C206" s="42"/>
      <c r="D206" s="67"/>
      <c r="E206" s="59"/>
      <c r="F206" s="59"/>
      <c r="G206" s="59"/>
      <c r="H206" s="59"/>
      <c r="I206" s="59"/>
      <c r="J206" s="59"/>
      <c r="K206" s="59"/>
      <c r="L206" s="59"/>
    </row>
    <row r="207" spans="2:12" s="8" customFormat="1" ht="18">
      <c r="B207" s="5"/>
      <c r="C207" s="34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2:12" s="8" customFormat="1" ht="18">
      <c r="B208" s="39"/>
      <c r="C208" s="34"/>
      <c r="D208" s="59"/>
      <c r="E208" s="59"/>
      <c r="F208" s="59"/>
      <c r="G208" s="59"/>
      <c r="H208" s="59"/>
      <c r="I208" s="59"/>
      <c r="J208" s="59"/>
      <c r="K208" s="59"/>
      <c r="L208" s="70"/>
    </row>
    <row r="209" spans="2:12" s="8" customFormat="1" ht="18">
      <c r="B209" s="39"/>
      <c r="C209" s="34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2:12" s="8" customFormat="1" ht="18">
      <c r="B210" s="39"/>
      <c r="C210" s="34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2:12" s="8" customFormat="1" ht="18">
      <c r="B211" s="5"/>
      <c r="C211" s="34"/>
      <c r="D211" s="58"/>
      <c r="E211" s="59"/>
      <c r="F211" s="59"/>
      <c r="G211" s="59"/>
      <c r="H211" s="59"/>
      <c r="I211" s="59"/>
      <c r="J211" s="59"/>
      <c r="K211" s="59"/>
      <c r="L211" s="59"/>
    </row>
    <row r="212" spans="2:12" s="8" customFormat="1" ht="18">
      <c r="B212" s="5"/>
      <c r="C212" s="34"/>
      <c r="D212" s="58"/>
      <c r="E212" s="59"/>
      <c r="F212" s="59"/>
      <c r="G212" s="59"/>
      <c r="H212" s="59"/>
      <c r="I212" s="59"/>
      <c r="J212" s="59"/>
      <c r="K212" s="59"/>
      <c r="L212" s="59"/>
    </row>
    <row r="213" spans="2:12" s="8" customFormat="1" ht="18">
      <c r="B213" s="39"/>
      <c r="C213" s="34"/>
      <c r="D213" s="58"/>
      <c r="E213" s="59"/>
      <c r="F213" s="59"/>
      <c r="G213" s="59"/>
      <c r="H213" s="59"/>
      <c r="I213" s="59"/>
      <c r="J213" s="59"/>
      <c r="K213" s="59"/>
      <c r="L213" s="59"/>
    </row>
    <row r="214" spans="2:12" s="8" customFormat="1" ht="18">
      <c r="B214" s="39"/>
      <c r="C214" s="34"/>
      <c r="D214" s="58"/>
      <c r="E214" s="59"/>
      <c r="F214" s="59"/>
      <c r="G214" s="59"/>
      <c r="H214" s="59"/>
      <c r="I214" s="59"/>
      <c r="J214" s="59"/>
      <c r="K214" s="59"/>
      <c r="L214" s="59"/>
    </row>
    <row r="215" spans="2:12" s="8" customFormat="1" ht="18">
      <c r="B215" s="39"/>
      <c r="C215" s="34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2:12" s="8" customFormat="1" ht="18">
      <c r="B216" s="39"/>
      <c r="C216" s="34"/>
      <c r="D216" s="58"/>
      <c r="E216" s="59"/>
      <c r="F216" s="59"/>
      <c r="G216" s="59"/>
      <c r="H216" s="59"/>
      <c r="I216" s="59"/>
      <c r="J216" s="59"/>
      <c r="K216" s="59"/>
      <c r="L216" s="59"/>
    </row>
    <row r="217" spans="2:12" s="8" customFormat="1" ht="18">
      <c r="B217" s="39"/>
      <c r="C217" s="34"/>
      <c r="D217" s="58"/>
      <c r="E217" s="59"/>
      <c r="F217" s="59"/>
      <c r="G217" s="59"/>
      <c r="H217" s="59"/>
      <c r="I217" s="59"/>
      <c r="J217" s="59"/>
      <c r="K217" s="59"/>
      <c r="L217" s="59"/>
    </row>
    <row r="218" spans="2:12" s="8" customFormat="1" ht="18">
      <c r="B218" s="39"/>
      <c r="C218" s="34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2:12" s="8" customFormat="1" ht="18">
      <c r="B219" s="39"/>
      <c r="C219" s="34"/>
      <c r="D219" s="58"/>
      <c r="E219" s="59"/>
      <c r="F219" s="59"/>
      <c r="G219" s="59"/>
      <c r="H219" s="59"/>
      <c r="I219" s="59"/>
      <c r="J219" s="59"/>
      <c r="K219" s="59"/>
      <c r="L219" s="59"/>
    </row>
    <row r="220" spans="2:12" s="8" customFormat="1" ht="18">
      <c r="B220" s="39"/>
      <c r="C220" s="34"/>
      <c r="D220" s="58"/>
      <c r="E220" s="59"/>
      <c r="F220" s="59"/>
      <c r="G220" s="59"/>
      <c r="H220" s="59"/>
      <c r="I220" s="59"/>
      <c r="J220" s="59"/>
      <c r="K220" s="59"/>
      <c r="L220" s="59"/>
    </row>
    <row r="221" spans="2:12" s="8" customFormat="1" ht="18">
      <c r="B221" s="39"/>
      <c r="C221" s="34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2:12" s="8" customFormat="1" ht="18">
      <c r="B222" s="39"/>
      <c r="C222" s="34"/>
      <c r="D222" s="58"/>
      <c r="E222" s="59"/>
      <c r="F222" s="59"/>
      <c r="G222" s="59"/>
      <c r="H222" s="59"/>
      <c r="I222" s="59"/>
      <c r="J222" s="59"/>
      <c r="K222" s="59"/>
      <c r="L222" s="59"/>
    </row>
    <row r="223" spans="2:12" s="8" customFormat="1" ht="18">
      <c r="B223" s="41"/>
      <c r="C223" s="34"/>
      <c r="D223" s="58"/>
      <c r="E223" s="59"/>
      <c r="F223" s="59"/>
      <c r="G223" s="59"/>
      <c r="H223" s="59"/>
      <c r="I223" s="59"/>
      <c r="J223" s="59"/>
      <c r="K223" s="59"/>
      <c r="L223" s="59"/>
    </row>
    <row r="224" spans="2:12" s="8" customFormat="1" ht="18">
      <c r="B224" s="41"/>
      <c r="C224" s="34"/>
      <c r="D224" s="58"/>
      <c r="E224" s="59"/>
      <c r="F224" s="59"/>
      <c r="G224" s="59"/>
      <c r="H224" s="59"/>
      <c r="I224" s="59"/>
      <c r="J224" s="59"/>
      <c r="K224" s="59"/>
      <c r="L224" s="59"/>
    </row>
    <row r="225" spans="2:12" s="8" customFormat="1" ht="18">
      <c r="B225" s="41"/>
      <c r="C225" s="34"/>
      <c r="D225" s="58"/>
      <c r="E225" s="59"/>
      <c r="F225" s="59"/>
      <c r="G225" s="59"/>
      <c r="H225" s="59"/>
      <c r="I225" s="59"/>
      <c r="J225" s="59"/>
      <c r="K225" s="59"/>
      <c r="L225" s="59"/>
    </row>
    <row r="226" spans="2:12" s="8" customFormat="1" ht="18">
      <c r="B226" s="41"/>
      <c r="C226" s="34"/>
      <c r="D226" s="58"/>
      <c r="E226" s="59"/>
      <c r="F226" s="59"/>
      <c r="G226" s="59"/>
      <c r="H226" s="59"/>
      <c r="I226" s="59"/>
      <c r="J226" s="59"/>
      <c r="K226" s="59"/>
      <c r="L226" s="59"/>
    </row>
    <row r="227" spans="2:12" s="8" customFormat="1" ht="18.75" customHeight="1">
      <c r="B227" s="41"/>
      <c r="C227" s="34"/>
      <c r="D227" s="58"/>
      <c r="E227" s="59"/>
      <c r="F227" s="59"/>
      <c r="G227" s="59"/>
      <c r="H227" s="59"/>
      <c r="I227" s="59"/>
      <c r="J227" s="59"/>
      <c r="K227" s="59"/>
      <c r="L227" s="59"/>
    </row>
    <row r="228" spans="2:12" s="8" customFormat="1" ht="18">
      <c r="B228" s="41"/>
      <c r="C228" s="34"/>
      <c r="D228" s="58"/>
      <c r="E228" s="59"/>
      <c r="F228" s="59"/>
      <c r="G228" s="59"/>
      <c r="H228" s="59"/>
      <c r="I228" s="59"/>
      <c r="J228" s="59"/>
      <c r="K228" s="59"/>
      <c r="L228" s="59"/>
    </row>
    <row r="229" spans="2:12" s="8" customFormat="1" ht="18">
      <c r="B229" s="5"/>
      <c r="C229" s="34"/>
      <c r="D229" s="58"/>
      <c r="E229" s="59"/>
      <c r="F229" s="59"/>
      <c r="G229" s="59"/>
      <c r="H229" s="59"/>
      <c r="I229" s="59"/>
      <c r="J229" s="59"/>
      <c r="K229" s="59"/>
      <c r="L229" s="59"/>
    </row>
    <row r="230" spans="2:12" s="8" customFormat="1" ht="18">
      <c r="B230" s="39"/>
      <c r="C230" s="34"/>
      <c r="D230" s="58"/>
      <c r="E230" s="59"/>
      <c r="F230" s="59"/>
      <c r="G230" s="59"/>
      <c r="H230" s="59"/>
      <c r="I230" s="59"/>
      <c r="J230" s="59"/>
      <c r="K230" s="59"/>
      <c r="L230" s="59"/>
    </row>
    <row r="231" spans="2:12" s="8" customFormat="1" ht="18">
      <c r="B231" s="39"/>
      <c r="C231" s="34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2:12" s="8" customFormat="1" ht="18">
      <c r="B232" s="39"/>
      <c r="C232" s="34"/>
      <c r="D232" s="58"/>
      <c r="E232" s="59"/>
      <c r="F232" s="59"/>
      <c r="G232" s="59"/>
      <c r="H232" s="59"/>
      <c r="I232" s="59"/>
      <c r="J232" s="59"/>
      <c r="K232" s="59"/>
      <c r="L232" s="59"/>
    </row>
    <row r="233" spans="2:12" s="8" customFormat="1" ht="18">
      <c r="B233" s="39"/>
      <c r="C233" s="42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2:12" s="8" customFormat="1" ht="18">
      <c r="B234" s="39"/>
      <c r="C234" s="34"/>
      <c r="D234" s="58"/>
      <c r="E234" s="59"/>
      <c r="F234" s="59"/>
      <c r="G234" s="59"/>
      <c r="H234" s="59"/>
      <c r="I234" s="59"/>
      <c r="J234" s="59"/>
      <c r="K234" s="59"/>
      <c r="L234" s="59"/>
    </row>
    <row r="235" spans="2:12" s="8" customFormat="1" ht="18">
      <c r="B235" s="41"/>
      <c r="C235" s="34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2:12" s="8" customFormat="1" ht="18">
      <c r="B236" s="5"/>
      <c r="C236" s="34"/>
      <c r="D236" s="58"/>
      <c r="E236" s="59"/>
      <c r="F236" s="59"/>
      <c r="G236" s="59"/>
      <c r="H236" s="59"/>
      <c r="I236" s="59"/>
      <c r="J236" s="59"/>
      <c r="K236" s="59"/>
      <c r="L236" s="59"/>
    </row>
    <row r="237" spans="2:12" s="8" customFormat="1" ht="18">
      <c r="B237" s="41"/>
      <c r="C237" s="34"/>
      <c r="D237" s="58"/>
      <c r="E237" s="59"/>
      <c r="F237" s="59"/>
      <c r="G237" s="59"/>
      <c r="H237" s="59"/>
      <c r="I237" s="59"/>
      <c r="J237" s="59"/>
      <c r="K237" s="59"/>
      <c r="L237" s="59"/>
    </row>
    <row r="238" spans="2:12" s="8" customFormat="1" ht="18">
      <c r="B238" s="41"/>
      <c r="C238" s="34"/>
      <c r="D238" s="58"/>
      <c r="E238" s="59"/>
      <c r="F238" s="59"/>
      <c r="G238" s="59"/>
      <c r="H238" s="59"/>
      <c r="I238" s="59"/>
      <c r="J238" s="59"/>
      <c r="K238" s="59"/>
      <c r="L238" s="59"/>
    </row>
    <row r="239" spans="2:12" s="8" customFormat="1" ht="18">
      <c r="B239" s="41"/>
      <c r="C239" s="42"/>
      <c r="D239" s="58"/>
      <c r="E239" s="59"/>
      <c r="F239" s="59"/>
      <c r="G239" s="59"/>
      <c r="H239" s="59"/>
      <c r="I239" s="59"/>
      <c r="J239" s="59"/>
      <c r="K239" s="59"/>
      <c r="L239" s="59"/>
    </row>
    <row r="240" spans="2:12" s="8" customFormat="1" ht="18">
      <c r="B240" s="39"/>
      <c r="C240" s="42"/>
      <c r="D240" s="67"/>
      <c r="E240" s="59"/>
      <c r="F240" s="59"/>
      <c r="G240" s="59"/>
      <c r="H240" s="59"/>
      <c r="I240" s="59"/>
      <c r="J240" s="59"/>
      <c r="K240" s="59"/>
      <c r="L240" s="59"/>
    </row>
    <row r="241" spans="2:12" s="8" customFormat="1" ht="18">
      <c r="B241" s="39"/>
      <c r="C241" s="42"/>
      <c r="D241" s="75"/>
      <c r="E241" s="76"/>
      <c r="F241" s="76"/>
      <c r="G241" s="76"/>
      <c r="H241" s="76"/>
      <c r="I241" s="76"/>
      <c r="J241" s="76"/>
      <c r="K241" s="76"/>
      <c r="L241" s="76"/>
    </row>
    <row r="242" spans="2:12" s="8" customFormat="1" ht="38.25" customHeight="1">
      <c r="B242" s="39"/>
      <c r="C242" s="34"/>
      <c r="D242" s="75"/>
      <c r="E242" s="77"/>
      <c r="F242" s="77"/>
      <c r="G242" s="77"/>
      <c r="H242" s="77"/>
      <c r="I242" s="77"/>
      <c r="J242" s="77"/>
      <c r="K242" s="77"/>
      <c r="L242" s="77"/>
    </row>
    <row r="243" spans="2:12" s="8" customFormat="1" ht="18">
      <c r="B243" s="41"/>
      <c r="C243" s="42"/>
      <c r="D243" s="75"/>
      <c r="E243" s="76"/>
      <c r="F243" s="76"/>
      <c r="G243" s="76"/>
      <c r="H243" s="76"/>
      <c r="I243" s="76"/>
      <c r="J243" s="76"/>
      <c r="K243" s="76"/>
      <c r="L243" s="76"/>
    </row>
    <row r="244" spans="2:12" s="8" customFormat="1" ht="18">
      <c r="B244" s="41"/>
      <c r="C244" s="40"/>
      <c r="D244" s="75"/>
      <c r="E244" s="76"/>
      <c r="F244" s="76"/>
      <c r="G244" s="76"/>
      <c r="H244" s="76"/>
      <c r="I244" s="76"/>
      <c r="J244" s="76"/>
      <c r="K244" s="76"/>
      <c r="L244" s="76"/>
    </row>
    <row r="245" spans="2:12" s="8" customFormat="1" ht="18">
      <c r="B245" s="39"/>
      <c r="C245" s="34"/>
      <c r="D245" s="58"/>
      <c r="E245" s="59"/>
      <c r="F245" s="59"/>
      <c r="G245" s="59"/>
      <c r="H245" s="59"/>
      <c r="I245" s="59"/>
      <c r="J245" s="59"/>
      <c r="K245" s="59"/>
      <c r="L245" s="59"/>
    </row>
    <row r="246" spans="2:12" s="8" customFormat="1" ht="18">
      <c r="B246" s="39"/>
      <c r="C246" s="34"/>
      <c r="D246" s="58"/>
      <c r="E246" s="59"/>
      <c r="F246" s="59"/>
      <c r="G246" s="59"/>
      <c r="H246" s="59"/>
      <c r="I246" s="59"/>
      <c r="J246" s="59"/>
      <c r="K246" s="59"/>
      <c r="L246" s="59"/>
    </row>
    <row r="247" spans="2:12" s="8" customFormat="1" ht="18">
      <c r="B247" s="41"/>
      <c r="C247" s="34"/>
      <c r="D247" s="58"/>
      <c r="E247" s="59"/>
      <c r="F247" s="59"/>
      <c r="G247" s="59"/>
      <c r="H247" s="59"/>
      <c r="I247" s="59"/>
      <c r="J247" s="59"/>
      <c r="K247" s="59"/>
      <c r="L247" s="59"/>
    </row>
    <row r="248" spans="2:12" s="8" customFormat="1" ht="36" customHeight="1">
      <c r="B248" s="41"/>
      <c r="C248" s="42"/>
      <c r="D248" s="75"/>
      <c r="E248" s="76"/>
      <c r="F248" s="76"/>
      <c r="G248" s="76"/>
      <c r="H248" s="76"/>
      <c r="I248" s="76"/>
      <c r="J248" s="76"/>
      <c r="K248" s="76"/>
      <c r="L248" s="76"/>
    </row>
    <row r="249" spans="2:12" s="8" customFormat="1" ht="18">
      <c r="B249" s="43"/>
      <c r="C249" s="34"/>
      <c r="D249" s="58"/>
      <c r="E249" s="59"/>
      <c r="F249" s="59"/>
      <c r="G249" s="59"/>
      <c r="H249" s="59"/>
      <c r="I249" s="59"/>
      <c r="J249" s="59"/>
      <c r="K249" s="59"/>
      <c r="L249" s="59"/>
    </row>
    <row r="250" spans="2:12" s="8" customFormat="1" ht="39.75" customHeight="1">
      <c r="B250" s="41"/>
      <c r="C250" s="34"/>
      <c r="D250" s="75"/>
      <c r="E250" s="76"/>
      <c r="F250" s="76"/>
      <c r="G250" s="76"/>
      <c r="H250" s="76"/>
      <c r="I250" s="76"/>
      <c r="J250" s="76"/>
      <c r="K250" s="76"/>
      <c r="L250" s="76"/>
    </row>
    <row r="251" spans="2:12" s="8" customFormat="1" ht="18">
      <c r="B251" s="41"/>
      <c r="C251" s="40"/>
      <c r="D251" s="75"/>
      <c r="E251" s="76"/>
      <c r="F251" s="76"/>
      <c r="G251" s="76"/>
      <c r="H251" s="76"/>
      <c r="I251" s="76"/>
      <c r="J251" s="76"/>
      <c r="K251" s="76"/>
      <c r="L251" s="76"/>
    </row>
    <row r="252" spans="2:12" s="8" customFormat="1" ht="18">
      <c r="B252" s="41"/>
      <c r="C252" s="40"/>
      <c r="D252" s="75"/>
      <c r="E252" s="76"/>
      <c r="F252" s="76"/>
      <c r="G252" s="76"/>
      <c r="H252" s="76"/>
      <c r="I252" s="76"/>
      <c r="J252" s="76"/>
      <c r="K252" s="76"/>
      <c r="L252" s="76"/>
    </row>
    <row r="253" spans="2:12" s="8" customFormat="1" ht="18">
      <c r="B253" s="39"/>
      <c r="C253" s="40"/>
      <c r="D253" s="68"/>
      <c r="E253" s="59"/>
      <c r="F253" s="59"/>
      <c r="G253" s="59"/>
      <c r="H253" s="59"/>
      <c r="I253" s="59"/>
      <c r="J253" s="59"/>
      <c r="K253" s="59"/>
      <c r="L253" s="59"/>
    </row>
    <row r="254" spans="2:12" s="8" customFormat="1" ht="34.5" customHeight="1">
      <c r="B254" s="41"/>
      <c r="C254" s="40"/>
      <c r="D254" s="78"/>
      <c r="E254" s="76"/>
      <c r="F254" s="76"/>
      <c r="G254" s="76"/>
      <c r="H254" s="76"/>
      <c r="I254" s="76"/>
      <c r="J254" s="76"/>
      <c r="K254" s="76"/>
      <c r="L254" s="76"/>
    </row>
    <row r="255" spans="2:12" s="8" customFormat="1" ht="18">
      <c r="B255" s="41"/>
      <c r="C255" s="40"/>
      <c r="D255" s="75"/>
      <c r="E255" s="76"/>
      <c r="F255" s="76"/>
      <c r="G255" s="76"/>
      <c r="H255" s="76"/>
      <c r="I255" s="76"/>
      <c r="J255" s="76"/>
      <c r="K255" s="76"/>
      <c r="L255" s="76"/>
    </row>
    <row r="256" spans="2:12" s="8" customFormat="1" ht="18">
      <c r="B256" s="41"/>
      <c r="C256" s="40"/>
      <c r="D256" s="75"/>
      <c r="E256" s="76"/>
      <c r="F256" s="76"/>
      <c r="G256" s="76"/>
      <c r="H256" s="76"/>
      <c r="I256" s="76"/>
      <c r="J256" s="76"/>
      <c r="K256" s="76"/>
      <c r="L256" s="76"/>
    </row>
    <row r="257" spans="2:12" s="8" customFormat="1" ht="18">
      <c r="B257" s="41"/>
      <c r="C257" s="40"/>
      <c r="D257" s="75"/>
      <c r="E257" s="76"/>
      <c r="F257" s="76"/>
      <c r="G257" s="76"/>
      <c r="H257" s="76"/>
      <c r="I257" s="76"/>
      <c r="J257" s="76"/>
      <c r="K257" s="76"/>
      <c r="L257" s="76"/>
    </row>
    <row r="258" spans="2:12" s="8" customFormat="1" ht="18">
      <c r="B258" s="41"/>
      <c r="C258" s="40"/>
      <c r="D258" s="75"/>
      <c r="E258" s="76"/>
      <c r="F258" s="76"/>
      <c r="G258" s="76"/>
      <c r="H258" s="76"/>
      <c r="I258" s="76"/>
      <c r="J258" s="76"/>
      <c r="K258" s="76"/>
      <c r="L258" s="76"/>
    </row>
    <row r="259" spans="2:12" s="8" customFormat="1" ht="17.25" customHeight="1">
      <c r="B259" s="5"/>
      <c r="C259" s="40"/>
      <c r="D259" s="58"/>
      <c r="E259" s="59"/>
      <c r="F259" s="59"/>
      <c r="G259" s="59"/>
      <c r="H259" s="59"/>
      <c r="I259" s="59"/>
      <c r="J259" s="59"/>
      <c r="K259" s="59"/>
      <c r="L259" s="59"/>
    </row>
    <row r="260" spans="2:12" s="8" customFormat="1" ht="36" customHeight="1">
      <c r="B260" s="41"/>
      <c r="C260" s="40"/>
      <c r="D260" s="79"/>
      <c r="E260" s="77"/>
      <c r="F260" s="77"/>
      <c r="G260" s="77"/>
      <c r="H260" s="77"/>
      <c r="I260" s="77"/>
      <c r="J260" s="77"/>
      <c r="K260" s="77"/>
      <c r="L260" s="77"/>
    </row>
    <row r="261" spans="2:12" s="8" customFormat="1" ht="36" customHeight="1">
      <c r="B261" s="41"/>
      <c r="C261" s="40"/>
      <c r="D261" s="79"/>
      <c r="E261" s="77"/>
      <c r="F261" s="77"/>
      <c r="G261" s="77"/>
      <c r="H261" s="77"/>
      <c r="I261" s="77"/>
      <c r="J261" s="77"/>
      <c r="K261" s="77"/>
      <c r="L261" s="77"/>
    </row>
    <row r="262" spans="2:12" s="8" customFormat="1" ht="19.5" customHeight="1">
      <c r="B262" s="5"/>
      <c r="C262" s="34"/>
      <c r="D262" s="58"/>
      <c r="E262" s="59"/>
      <c r="F262" s="59"/>
      <c r="G262" s="59"/>
      <c r="H262" s="59"/>
      <c r="I262" s="59"/>
      <c r="J262" s="59"/>
      <c r="K262" s="59"/>
      <c r="L262" s="59"/>
    </row>
    <row r="263" spans="2:12" s="8" customFormat="1" ht="18">
      <c r="B263" s="39"/>
      <c r="C263" s="45"/>
      <c r="D263" s="80"/>
      <c r="E263" s="59"/>
      <c r="F263" s="59"/>
      <c r="G263" s="59"/>
      <c r="H263" s="59"/>
      <c r="I263" s="59"/>
      <c r="J263" s="59"/>
      <c r="K263" s="59"/>
      <c r="L263" s="59"/>
    </row>
    <row r="264" spans="2:12" s="8" customFormat="1" ht="18">
      <c r="B264" s="39"/>
      <c r="C264" s="34"/>
      <c r="D264" s="75"/>
      <c r="E264" s="76"/>
      <c r="F264" s="76"/>
      <c r="G264" s="76"/>
      <c r="H264" s="76"/>
      <c r="I264" s="76"/>
      <c r="J264" s="76"/>
      <c r="K264" s="76"/>
      <c r="L264" s="76"/>
    </row>
    <row r="265" spans="2:12" s="8" customFormat="1" ht="18">
      <c r="B265" s="39"/>
      <c r="C265" s="34"/>
      <c r="D265" s="75"/>
      <c r="E265" s="76"/>
      <c r="F265" s="76"/>
      <c r="G265" s="76"/>
      <c r="H265" s="76"/>
      <c r="I265" s="76"/>
      <c r="J265" s="76"/>
      <c r="K265" s="76"/>
      <c r="L265" s="76"/>
    </row>
    <row r="266" spans="2:12" s="8" customFormat="1" ht="18">
      <c r="B266" s="39"/>
      <c r="C266" s="34"/>
      <c r="D266" s="75"/>
      <c r="E266" s="76"/>
      <c r="F266" s="76"/>
      <c r="G266" s="76"/>
      <c r="H266" s="76"/>
      <c r="I266" s="76"/>
      <c r="J266" s="76"/>
      <c r="K266" s="76"/>
      <c r="L266" s="76"/>
    </row>
    <row r="267" spans="2:12" s="8" customFormat="1" ht="18">
      <c r="B267" s="39"/>
      <c r="C267" s="34"/>
      <c r="D267" s="58"/>
      <c r="E267" s="59"/>
      <c r="F267" s="59"/>
      <c r="G267" s="59"/>
      <c r="H267" s="59"/>
      <c r="I267" s="59"/>
      <c r="J267" s="59"/>
      <c r="K267" s="59"/>
      <c r="L267" s="59"/>
    </row>
    <row r="268" spans="2:12" s="8" customFormat="1" ht="18">
      <c r="B268" s="39"/>
      <c r="C268" s="40"/>
      <c r="D268" s="75"/>
      <c r="E268" s="76"/>
      <c r="F268" s="76"/>
      <c r="G268" s="76"/>
      <c r="H268" s="76"/>
      <c r="I268" s="76"/>
      <c r="J268" s="76"/>
      <c r="K268" s="76"/>
      <c r="L268" s="76"/>
    </row>
    <row r="269" spans="2:12" s="8" customFormat="1" ht="18">
      <c r="B269" s="39"/>
      <c r="C269" s="34"/>
      <c r="D269" s="58"/>
      <c r="E269" s="59"/>
      <c r="F269" s="59"/>
      <c r="G269" s="59"/>
      <c r="H269" s="59"/>
      <c r="I269" s="59"/>
      <c r="J269" s="59"/>
      <c r="K269" s="59"/>
      <c r="L269" s="59"/>
    </row>
    <row r="270" spans="2:12" s="8" customFormat="1" ht="18">
      <c r="B270" s="39"/>
      <c r="C270" s="40"/>
      <c r="D270" s="75"/>
      <c r="E270" s="76"/>
      <c r="F270" s="76"/>
      <c r="G270" s="76"/>
      <c r="H270" s="76"/>
      <c r="I270" s="76"/>
      <c r="J270" s="76"/>
      <c r="K270" s="76"/>
      <c r="L270" s="76"/>
    </row>
    <row r="271" spans="2:12" s="8" customFormat="1" ht="18">
      <c r="B271" s="39"/>
      <c r="C271" s="40"/>
      <c r="D271" s="79"/>
      <c r="E271" s="77"/>
      <c r="F271" s="77"/>
      <c r="G271" s="77"/>
      <c r="H271" s="77"/>
      <c r="I271" s="77"/>
      <c r="J271" s="77"/>
      <c r="K271" s="77"/>
      <c r="L271" s="77"/>
    </row>
    <row r="272" spans="2:12" s="8" customFormat="1" ht="18">
      <c r="B272" s="5"/>
      <c r="C272" s="34"/>
      <c r="D272" s="58"/>
      <c r="E272" s="59"/>
      <c r="F272" s="59"/>
      <c r="G272" s="59"/>
      <c r="H272" s="59"/>
      <c r="I272" s="59"/>
      <c r="J272" s="59"/>
      <c r="K272" s="59"/>
      <c r="L272" s="59"/>
    </row>
    <row r="273" spans="2:12" s="8" customFormat="1" ht="18">
      <c r="B273" s="41"/>
      <c r="C273" s="40"/>
      <c r="D273" s="68"/>
      <c r="E273" s="59"/>
      <c r="F273" s="59"/>
      <c r="G273" s="59"/>
      <c r="H273" s="59"/>
      <c r="I273" s="59"/>
      <c r="J273" s="59"/>
      <c r="K273" s="59"/>
      <c r="L273" s="59"/>
    </row>
    <row r="274" spans="2:13" s="8" customFormat="1" ht="18">
      <c r="B274" s="41"/>
      <c r="C274" s="40"/>
      <c r="D274" s="68"/>
      <c r="E274" s="59"/>
      <c r="F274" s="59"/>
      <c r="G274" s="59"/>
      <c r="H274" s="59"/>
      <c r="I274" s="59"/>
      <c r="J274" s="59"/>
      <c r="K274" s="59"/>
      <c r="L274" s="59"/>
      <c r="M274" s="7"/>
    </row>
    <row r="275" spans="2:12" s="8" customFormat="1" ht="18">
      <c r="B275" s="41"/>
      <c r="C275" s="40"/>
      <c r="D275" s="75"/>
      <c r="E275" s="76"/>
      <c r="F275" s="76"/>
      <c r="G275" s="76"/>
      <c r="H275" s="76"/>
      <c r="I275" s="76"/>
      <c r="J275" s="76"/>
      <c r="K275" s="76"/>
      <c r="L275" s="76"/>
    </row>
    <row r="276" spans="2:12" s="8" customFormat="1" ht="18">
      <c r="B276" s="41"/>
      <c r="C276" s="34"/>
      <c r="D276" s="75"/>
      <c r="E276" s="76"/>
      <c r="F276" s="76"/>
      <c r="G276" s="76"/>
      <c r="H276" s="76"/>
      <c r="I276" s="76"/>
      <c r="J276" s="76"/>
      <c r="K276" s="76"/>
      <c r="L276" s="76"/>
    </row>
    <row r="277" spans="2:12" s="8" customFormat="1" ht="18">
      <c r="B277" s="41"/>
      <c r="C277" s="40"/>
      <c r="D277" s="75"/>
      <c r="E277" s="76"/>
      <c r="F277" s="76"/>
      <c r="G277" s="76"/>
      <c r="H277" s="76"/>
      <c r="I277" s="76"/>
      <c r="J277" s="76"/>
      <c r="K277" s="76"/>
      <c r="L277" s="76"/>
    </row>
    <row r="278" spans="4:12" s="8" customFormat="1" ht="12.75">
      <c r="D278" s="70"/>
      <c r="E278" s="70"/>
      <c r="F278" s="70"/>
      <c r="G278" s="70"/>
      <c r="H278" s="70"/>
      <c r="I278" s="70"/>
      <c r="J278" s="70"/>
      <c r="K278" s="70"/>
      <c r="L278" s="70"/>
    </row>
  </sheetData>
  <sheetProtection/>
  <mergeCells count="31">
    <mergeCell ref="B60:B61"/>
    <mergeCell ref="B62:B63"/>
    <mergeCell ref="B64:B65"/>
    <mergeCell ref="B66:B67"/>
    <mergeCell ref="B31:B32"/>
    <mergeCell ref="B38:B39"/>
    <mergeCell ref="B44:B45"/>
    <mergeCell ref="B47:B48"/>
    <mergeCell ref="B13:B14"/>
    <mergeCell ref="B16:B17"/>
    <mergeCell ref="B19:B20"/>
    <mergeCell ref="B22:B23"/>
    <mergeCell ref="B25:B30"/>
    <mergeCell ref="B57:B58"/>
    <mergeCell ref="D9:E9"/>
    <mergeCell ref="I1:L1"/>
    <mergeCell ref="B5:L5"/>
    <mergeCell ref="B6:L6"/>
    <mergeCell ref="B7:L7"/>
    <mergeCell ref="B9:B11"/>
    <mergeCell ref="C9:C11"/>
    <mergeCell ref="E10:E11"/>
    <mergeCell ref="F10:F11"/>
    <mergeCell ref="D10:D11"/>
    <mergeCell ref="O47:AE47"/>
    <mergeCell ref="I2:L2"/>
    <mergeCell ref="I3:L3"/>
    <mergeCell ref="I4:L4"/>
    <mergeCell ref="G10:H10"/>
    <mergeCell ref="I10:J10"/>
    <mergeCell ref="K10:L10"/>
  </mergeCells>
  <printOptions/>
  <pageMargins left="0.5511811023622047" right="0.5118110236220472" top="0.7480314960629921" bottom="0.6692913385826772" header="0.31496062992125984" footer="0.31496062992125984"/>
  <pageSetup fitToHeight="0" fitToWidth="1" horizontalDpi="600" verticalDpi="600" orientation="landscape" paperSize="9" scale="54" r:id="rId3"/>
  <headerFooter differentFirst="1" scaleWithDoc="0" alignWithMargins="0">
    <oddHeader>&amp;C&amp;P</oddHeader>
    <evenHeader>&amp;C4</evenHeader>
  </headerFooter>
  <rowBreaks count="2" manualBreakCount="2">
    <brk id="45" min="1" max="11" man="1"/>
    <brk id="102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RePack by SPecialiST</cp:lastModifiedBy>
  <cp:lastPrinted>2019-08-14T23:38:37Z</cp:lastPrinted>
  <dcterms:created xsi:type="dcterms:W3CDTF">2013-05-25T16:45:04Z</dcterms:created>
  <dcterms:modified xsi:type="dcterms:W3CDTF">2019-08-14T23:40:08Z</dcterms:modified>
  <cp:category/>
  <cp:version/>
  <cp:contentType/>
  <cp:contentStatus/>
</cp:coreProperties>
</file>