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-1\Findept\ЛИЧНЫЕ ПАПКИ\ПИНСКАЯ Г.П\Рабочая документация\Проект бюджета ДГО на 2022-2024 гг\Бюджет 2022-2024 на сайт\Сведения по открытости бюджетных данных 2022-2024\"/>
    </mc:Choice>
  </mc:AlternateContent>
  <bookViews>
    <workbookView xWindow="0" yWindow="0" windowWidth="28800" windowHeight="11880"/>
  </bookViews>
  <sheets>
    <sheet name="доходы" sheetId="1" r:id="rId1"/>
  </sheets>
  <definedNames>
    <definedName name="_xlnm.Print_Area" localSheetId="0">доходы!$A$2:$I$146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6" i="1" l="1"/>
  <c r="I63" i="1"/>
  <c r="H63" i="1"/>
  <c r="D63" i="1"/>
  <c r="E63" i="1"/>
  <c r="I62" i="1"/>
  <c r="H62" i="1"/>
  <c r="D62" i="1"/>
  <c r="E62" i="1"/>
  <c r="C63" i="1"/>
  <c r="C66" i="1"/>
  <c r="C70" i="1"/>
  <c r="C69" i="1" s="1"/>
  <c r="C72" i="1"/>
  <c r="C62" i="1"/>
  <c r="C13" i="1"/>
  <c r="J58" i="1" l="1"/>
  <c r="E75" i="1"/>
  <c r="D75" i="1"/>
  <c r="C75" i="1"/>
  <c r="H75" i="1"/>
  <c r="I75" i="1"/>
  <c r="I58" i="1"/>
  <c r="H58" i="1"/>
  <c r="E58" i="1"/>
  <c r="D58" i="1"/>
  <c r="C58" i="1"/>
  <c r="J74" i="1"/>
  <c r="J110" i="1" l="1"/>
  <c r="J109" i="1"/>
  <c r="J108" i="1" l="1"/>
  <c r="J103" i="1"/>
  <c r="J102" i="1"/>
  <c r="J101" i="1"/>
  <c r="J98" i="1"/>
  <c r="J96" i="1"/>
  <c r="J94" i="1"/>
  <c r="J93" i="1"/>
  <c r="J92" i="1"/>
  <c r="J91" i="1"/>
  <c r="J90" i="1"/>
  <c r="J86" i="1"/>
  <c r="J85" i="1"/>
  <c r="J84" i="1"/>
  <c r="J79" i="1"/>
  <c r="J76" i="1"/>
  <c r="J72" i="1"/>
  <c r="J68" i="1"/>
  <c r="J67" i="1"/>
  <c r="J65" i="1"/>
  <c r="J64" i="1"/>
  <c r="J61" i="1"/>
  <c r="J57" i="1"/>
  <c r="J56" i="1" s="1"/>
  <c r="J53" i="1"/>
  <c r="J52" i="1"/>
  <c r="J42" i="1"/>
  <c r="J40" i="1" s="1"/>
  <c r="J37" i="1" s="1"/>
  <c r="J41" i="1"/>
  <c r="J36" i="1"/>
  <c r="J35" i="1"/>
  <c r="J33" i="1"/>
  <c r="J31" i="1"/>
  <c r="J30" i="1"/>
  <c r="J16" i="1"/>
  <c r="J18" i="1"/>
  <c r="J143" i="1"/>
  <c r="J141" i="1"/>
  <c r="J137" i="1"/>
  <c r="J126" i="1"/>
  <c r="J117" i="1"/>
  <c r="J114" i="1"/>
  <c r="J106" i="1"/>
  <c r="J104" i="1"/>
  <c r="J100" i="1"/>
  <c r="J97" i="1"/>
  <c r="J95" i="1"/>
  <c r="J83" i="1"/>
  <c r="J78" i="1"/>
  <c r="J75" i="1" s="1"/>
  <c r="J70" i="1"/>
  <c r="J66" i="1"/>
  <c r="J63" i="1"/>
  <c r="J50" i="1"/>
  <c r="J46" i="1"/>
  <c r="J43" i="1"/>
  <c r="J38" i="1"/>
  <c r="J32" i="1"/>
  <c r="J29" i="1"/>
  <c r="J23" i="1"/>
  <c r="J22" i="1"/>
  <c r="J113" i="1" l="1"/>
  <c r="J112" i="1" s="1"/>
  <c r="J82" i="1"/>
  <c r="J69" i="1"/>
  <c r="J62" i="1"/>
  <c r="J49" i="1"/>
  <c r="J28" i="1"/>
  <c r="J15" i="1"/>
  <c r="J14" i="1" s="1"/>
  <c r="J13" i="1"/>
  <c r="C15" i="1"/>
  <c r="C14" i="1"/>
  <c r="F139" i="1"/>
  <c r="D117" i="1"/>
  <c r="C117" i="1"/>
  <c r="E117" i="1"/>
  <c r="H117" i="1"/>
  <c r="I117" i="1"/>
  <c r="G88" i="1"/>
  <c r="G89" i="1"/>
  <c r="F88" i="1"/>
  <c r="F89" i="1"/>
  <c r="J48" i="1" l="1"/>
  <c r="J12" i="1" s="1"/>
  <c r="J146" i="1" s="1"/>
  <c r="F55" i="1"/>
  <c r="F47" i="1"/>
  <c r="G47" i="1"/>
  <c r="G118" i="1"/>
  <c r="F118" i="1"/>
  <c r="G139" i="1"/>
  <c r="F131" i="1"/>
  <c r="F132" i="1"/>
  <c r="F133" i="1"/>
  <c r="F134" i="1"/>
  <c r="F135" i="1"/>
  <c r="F136" i="1"/>
  <c r="G133" i="1"/>
  <c r="G134" i="1"/>
  <c r="G135" i="1"/>
  <c r="G136" i="1"/>
  <c r="I126" i="1"/>
  <c r="H126" i="1"/>
  <c r="C126" i="1"/>
  <c r="E126" i="1"/>
  <c r="D126" i="1"/>
  <c r="G101" i="1"/>
  <c r="F101" i="1"/>
  <c r="G55" i="1"/>
  <c r="I46" i="1"/>
  <c r="H46" i="1"/>
  <c r="D46" i="1"/>
  <c r="E46" i="1"/>
  <c r="C46" i="1"/>
  <c r="G105" i="1"/>
  <c r="F105" i="1"/>
  <c r="I104" i="1"/>
  <c r="I100" i="1" s="1"/>
  <c r="H104" i="1"/>
  <c r="H100" i="1" s="1"/>
  <c r="D104" i="1"/>
  <c r="E104" i="1"/>
  <c r="G104" i="1" s="1"/>
  <c r="D100" i="1"/>
  <c r="E100" i="1"/>
  <c r="C100" i="1"/>
  <c r="C104" i="1"/>
  <c r="C97" i="1"/>
  <c r="C95" i="1"/>
  <c r="C83" i="1"/>
  <c r="I50" i="1"/>
  <c r="H50" i="1"/>
  <c r="D50" i="1"/>
  <c r="E50" i="1"/>
  <c r="C50" i="1"/>
  <c r="F27" i="1"/>
  <c r="G27" i="1"/>
  <c r="G21" i="1"/>
  <c r="F21" i="1"/>
  <c r="I15" i="1"/>
  <c r="H15" i="1"/>
  <c r="D15" i="1"/>
  <c r="E15" i="1"/>
  <c r="C82" i="1" l="1"/>
  <c r="F46" i="1"/>
  <c r="G46" i="1"/>
  <c r="F104" i="1"/>
  <c r="G31" i="1"/>
  <c r="F31" i="1"/>
  <c r="F30" i="1"/>
  <c r="G30" i="1"/>
  <c r="I29" i="1"/>
  <c r="H29" i="1"/>
  <c r="E29" i="1"/>
  <c r="C29" i="1"/>
  <c r="F29" i="1" l="1"/>
  <c r="D29" i="1"/>
  <c r="G29" i="1" s="1"/>
  <c r="G132" i="1"/>
  <c r="G87" i="1"/>
  <c r="F87" i="1"/>
  <c r="D141" i="1" l="1"/>
  <c r="D137" i="1"/>
  <c r="C137" i="1"/>
  <c r="F138" i="1"/>
  <c r="G138" i="1"/>
  <c r="G131" i="1"/>
  <c r="G130" i="1"/>
  <c r="F130" i="1"/>
  <c r="G129" i="1"/>
  <c r="F129" i="1"/>
  <c r="G128" i="1"/>
  <c r="F128" i="1"/>
  <c r="G127" i="1"/>
  <c r="F127" i="1"/>
  <c r="G125" i="1"/>
  <c r="F125" i="1"/>
  <c r="G124" i="1"/>
  <c r="F124" i="1"/>
  <c r="G123" i="1"/>
  <c r="F123" i="1"/>
  <c r="G122" i="1"/>
  <c r="F122" i="1"/>
  <c r="G121" i="1"/>
  <c r="F121" i="1"/>
  <c r="G120" i="1"/>
  <c r="F120" i="1"/>
  <c r="G116" i="1"/>
  <c r="F116" i="1"/>
  <c r="G108" i="1"/>
  <c r="F108" i="1"/>
  <c r="G107" i="1"/>
  <c r="F107" i="1"/>
  <c r="G103" i="1"/>
  <c r="F103" i="1"/>
  <c r="G102" i="1"/>
  <c r="F102" i="1"/>
  <c r="G99" i="1"/>
  <c r="F99" i="1"/>
  <c r="G98" i="1"/>
  <c r="F98" i="1"/>
  <c r="G96" i="1"/>
  <c r="F96" i="1"/>
  <c r="G94" i="1"/>
  <c r="F94" i="1"/>
  <c r="G93" i="1"/>
  <c r="F93" i="1"/>
  <c r="G92" i="1"/>
  <c r="F92" i="1"/>
  <c r="G91" i="1"/>
  <c r="F91" i="1"/>
  <c r="G90" i="1"/>
  <c r="F90" i="1"/>
  <c r="G86" i="1"/>
  <c r="F86" i="1"/>
  <c r="G85" i="1"/>
  <c r="F85" i="1"/>
  <c r="G84" i="1"/>
  <c r="F84" i="1"/>
  <c r="G81" i="1"/>
  <c r="F81" i="1"/>
  <c r="G80" i="1"/>
  <c r="F80" i="1"/>
  <c r="G79" i="1"/>
  <c r="F79" i="1"/>
  <c r="G76" i="1"/>
  <c r="F76" i="1"/>
  <c r="G74" i="1"/>
  <c r="F74" i="1"/>
  <c r="G73" i="1"/>
  <c r="F73" i="1"/>
  <c r="G71" i="1"/>
  <c r="F71" i="1"/>
  <c r="G68" i="1"/>
  <c r="F68" i="1"/>
  <c r="G67" i="1"/>
  <c r="F67" i="1"/>
  <c r="G65" i="1"/>
  <c r="F65" i="1"/>
  <c r="G64" i="1"/>
  <c r="F64" i="1"/>
  <c r="G59" i="1"/>
  <c r="F59" i="1"/>
  <c r="G57" i="1"/>
  <c r="F57" i="1"/>
  <c r="G54" i="1"/>
  <c r="F54" i="1"/>
  <c r="G53" i="1"/>
  <c r="F53" i="1"/>
  <c r="G52" i="1"/>
  <c r="F52" i="1"/>
  <c r="G51" i="1"/>
  <c r="F51" i="1"/>
  <c r="G45" i="1"/>
  <c r="F45" i="1"/>
  <c r="G44" i="1"/>
  <c r="F44" i="1"/>
  <c r="G42" i="1"/>
  <c r="F42" i="1"/>
  <c r="G41" i="1"/>
  <c r="F41" i="1"/>
  <c r="G39" i="1"/>
  <c r="F39" i="1"/>
  <c r="G36" i="1"/>
  <c r="F36" i="1"/>
  <c r="G35" i="1"/>
  <c r="F35" i="1"/>
  <c r="G34" i="1"/>
  <c r="F34" i="1"/>
  <c r="G33" i="1"/>
  <c r="F33" i="1"/>
  <c r="G26" i="1"/>
  <c r="F26" i="1"/>
  <c r="G25" i="1"/>
  <c r="F25" i="1"/>
  <c r="G24" i="1"/>
  <c r="F24" i="1"/>
  <c r="G20" i="1"/>
  <c r="F20" i="1"/>
  <c r="G19" i="1"/>
  <c r="F19" i="1"/>
  <c r="G18" i="1"/>
  <c r="F18" i="1"/>
  <c r="G17" i="1"/>
  <c r="F17" i="1"/>
  <c r="G16" i="1"/>
  <c r="F16" i="1"/>
  <c r="C56" i="1"/>
  <c r="I43" i="1"/>
  <c r="H43" i="1"/>
  <c r="E43" i="1"/>
  <c r="D43" i="1"/>
  <c r="C43" i="1"/>
  <c r="C114" i="1"/>
  <c r="C113" i="1" s="1"/>
  <c r="F115" i="1"/>
  <c r="C143" i="1"/>
  <c r="G144" i="1"/>
  <c r="I141" i="1"/>
  <c r="H141" i="1"/>
  <c r="E141" i="1"/>
  <c r="C141" i="1"/>
  <c r="F140" i="1"/>
  <c r="I106" i="1"/>
  <c r="H106" i="1"/>
  <c r="E106" i="1"/>
  <c r="D106" i="1"/>
  <c r="C106" i="1"/>
  <c r="I72" i="1"/>
  <c r="H72" i="1"/>
  <c r="E72" i="1"/>
  <c r="D72" i="1"/>
  <c r="F72" i="1" l="1"/>
  <c r="G43" i="1"/>
  <c r="F141" i="1"/>
  <c r="F106" i="1"/>
  <c r="G106" i="1"/>
  <c r="G72" i="1"/>
  <c r="F43" i="1"/>
  <c r="I137" i="1"/>
  <c r="H137" i="1"/>
  <c r="E137" i="1"/>
  <c r="F137" i="1" s="1"/>
  <c r="G115" i="1"/>
  <c r="F142" i="1"/>
  <c r="F144" i="1"/>
  <c r="G140" i="1"/>
  <c r="G142" i="1"/>
  <c r="G141" i="1"/>
  <c r="D143" i="1"/>
  <c r="D114" i="1"/>
  <c r="D97" i="1"/>
  <c r="D95" i="1"/>
  <c r="D83" i="1"/>
  <c r="D78" i="1"/>
  <c r="C78" i="1"/>
  <c r="D70" i="1"/>
  <c r="D66" i="1"/>
  <c r="D56" i="1"/>
  <c r="D40" i="1"/>
  <c r="C40" i="1"/>
  <c r="C37" i="1" s="1"/>
  <c r="D38" i="1"/>
  <c r="C38" i="1"/>
  <c r="D32" i="1"/>
  <c r="D28" i="1" s="1"/>
  <c r="C32" i="1"/>
  <c r="D23" i="1"/>
  <c r="C23" i="1"/>
  <c r="D14" i="1"/>
  <c r="I143" i="1"/>
  <c r="H143" i="1"/>
  <c r="I114" i="1"/>
  <c r="H114" i="1"/>
  <c r="E114" i="1"/>
  <c r="E113" i="1" s="1"/>
  <c r="I97" i="1"/>
  <c r="H97" i="1"/>
  <c r="E97" i="1"/>
  <c r="F97" i="1" s="1"/>
  <c r="I95" i="1"/>
  <c r="H95" i="1"/>
  <c r="E95" i="1"/>
  <c r="F95" i="1" s="1"/>
  <c r="I83" i="1"/>
  <c r="H83" i="1"/>
  <c r="E83" i="1"/>
  <c r="I78" i="1"/>
  <c r="H78" i="1"/>
  <c r="E78" i="1"/>
  <c r="I70" i="1"/>
  <c r="I69" i="1" s="1"/>
  <c r="H70" i="1"/>
  <c r="E70" i="1"/>
  <c r="I66" i="1"/>
  <c r="H66" i="1"/>
  <c r="E66" i="1"/>
  <c r="I56" i="1"/>
  <c r="H56" i="1"/>
  <c r="E56" i="1"/>
  <c r="F56" i="1" s="1"/>
  <c r="I40" i="1"/>
  <c r="I37" i="1" s="1"/>
  <c r="H40" i="1"/>
  <c r="H37" i="1" s="1"/>
  <c r="E40" i="1"/>
  <c r="I38" i="1"/>
  <c r="H38" i="1"/>
  <c r="E38" i="1"/>
  <c r="I32" i="1"/>
  <c r="I28" i="1" s="1"/>
  <c r="H32" i="1"/>
  <c r="H28" i="1" s="1"/>
  <c r="E32" i="1"/>
  <c r="E28" i="1" s="1"/>
  <c r="I23" i="1"/>
  <c r="I22" i="1" s="1"/>
  <c r="H23" i="1"/>
  <c r="H22" i="1" s="1"/>
  <c r="E23" i="1"/>
  <c r="E22" i="1" s="1"/>
  <c r="I14" i="1"/>
  <c r="H14" i="1"/>
  <c r="H82" i="1" l="1"/>
  <c r="I82" i="1"/>
  <c r="E82" i="1"/>
  <c r="D82" i="1"/>
  <c r="F58" i="1"/>
  <c r="F38" i="1"/>
  <c r="G58" i="1"/>
  <c r="G97" i="1"/>
  <c r="G95" i="1"/>
  <c r="G83" i="1"/>
  <c r="G70" i="1"/>
  <c r="F70" i="1"/>
  <c r="F66" i="1"/>
  <c r="G66" i="1"/>
  <c r="F63" i="1"/>
  <c r="G63" i="1"/>
  <c r="G56" i="1"/>
  <c r="F50" i="1"/>
  <c r="E37" i="1"/>
  <c r="F37" i="1" s="1"/>
  <c r="F40" i="1"/>
  <c r="G38" i="1"/>
  <c r="C28" i="1"/>
  <c r="F28" i="1" s="1"/>
  <c r="F32" i="1"/>
  <c r="F23" i="1"/>
  <c r="G137" i="1"/>
  <c r="F15" i="1"/>
  <c r="E14" i="1"/>
  <c r="D37" i="1"/>
  <c r="G40" i="1"/>
  <c r="D22" i="1"/>
  <c r="G22" i="1" s="1"/>
  <c r="G23" i="1"/>
  <c r="F75" i="1"/>
  <c r="F78" i="1"/>
  <c r="G50" i="1"/>
  <c r="G15" i="1"/>
  <c r="F83" i="1"/>
  <c r="G78" i="1"/>
  <c r="G28" i="1"/>
  <c r="G32" i="1"/>
  <c r="G119" i="1"/>
  <c r="F119" i="1"/>
  <c r="G114" i="1"/>
  <c r="F114" i="1"/>
  <c r="E143" i="1"/>
  <c r="F145" i="1"/>
  <c r="G145" i="1"/>
  <c r="C112" i="1"/>
  <c r="F100" i="1"/>
  <c r="D69" i="1"/>
  <c r="H13" i="1"/>
  <c r="F62" i="1"/>
  <c r="I13" i="1"/>
  <c r="I49" i="1"/>
  <c r="D49" i="1"/>
  <c r="C49" i="1"/>
  <c r="E49" i="1"/>
  <c r="H49" i="1"/>
  <c r="E69" i="1"/>
  <c r="H69" i="1"/>
  <c r="C22" i="1"/>
  <c r="F22" i="1" s="1"/>
  <c r="F126" i="1"/>
  <c r="G37" i="1" l="1"/>
  <c r="E13" i="1"/>
  <c r="D13" i="1"/>
  <c r="G100" i="1"/>
  <c r="G75" i="1"/>
  <c r="G69" i="1"/>
  <c r="F69" i="1"/>
  <c r="G62" i="1"/>
  <c r="F49" i="1"/>
  <c r="I113" i="1"/>
  <c r="I112" i="1" s="1"/>
  <c r="G14" i="1"/>
  <c r="F14" i="1"/>
  <c r="G49" i="1"/>
  <c r="D113" i="1"/>
  <c r="D112" i="1" s="1"/>
  <c r="H113" i="1"/>
  <c r="H112" i="1" s="1"/>
  <c r="F117" i="1"/>
  <c r="G117" i="1"/>
  <c r="F143" i="1"/>
  <c r="G143" i="1"/>
  <c r="G126" i="1"/>
  <c r="F82" i="1"/>
  <c r="D48" i="1"/>
  <c r="C48" i="1"/>
  <c r="I48" i="1"/>
  <c r="I12" i="1" s="1"/>
  <c r="H48" i="1"/>
  <c r="H12" i="1" s="1"/>
  <c r="C12" i="1" l="1"/>
  <c r="F13" i="1"/>
  <c r="D12" i="1"/>
  <c r="G13" i="1"/>
  <c r="G82" i="1"/>
  <c r="E112" i="1"/>
  <c r="F113" i="1"/>
  <c r="G113" i="1"/>
  <c r="E48" i="1"/>
  <c r="E12" i="1" s="1"/>
  <c r="H146" i="1"/>
  <c r="I146" i="1"/>
  <c r="F12" i="1" l="1"/>
  <c r="F48" i="1"/>
  <c r="G48" i="1"/>
  <c r="D146" i="1"/>
  <c r="G112" i="1"/>
  <c r="F112" i="1"/>
  <c r="C146" i="1"/>
  <c r="E146" i="1" l="1"/>
  <c r="G146" i="1" s="1"/>
  <c r="G12" i="1"/>
  <c r="F146" i="1" l="1"/>
</calcChain>
</file>

<file path=xl/sharedStrings.xml><?xml version="1.0" encoding="utf-8"?>
<sst xmlns="http://schemas.openxmlformats.org/spreadsheetml/2006/main" count="279" uniqueCount="278">
  <si>
    <t>КБК</t>
  </si>
  <si>
    <t>Наименования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</si>
  <si>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</si>
  <si>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</si>
  <si>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</si>
  <si>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</si>
  <si>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</si>
  <si>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</si>
  <si>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</si>
  <si>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</si>
  <si>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</si>
  <si>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</si>
  <si>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</si>
  <si>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</si>
  <si>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</si>
  <si>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</si>
  <si>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1 01 02050 01 0000 110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</si>
  <si>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</si>
  <si>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</si>
  <si>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</si>
  <si>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</si>
  <si>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</si>
  <si>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</si>
  <si>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</si>
  <si>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</si>
  <si>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</si>
  <si>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</si>
  <si>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</si>
  <si>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</si>
  <si>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</si>
  <si>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</si>
  <si>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</si>
  <si>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</si>
  <si>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</si>
  <si>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</si>
  <si>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</si>
  <si>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</si>
  <si>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1 05 03010 01 0000 110</t>
  </si>
  <si>
    <t>Единый сельскохозяйственный налог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</si>
  <si>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</si>
  <si>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</si>
  <si>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</si>
  <si>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</si>
  <si>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 xml:space="preserve">1 06 01000 00 0000 110
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</si>
  <si>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</si>
  <si>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</si>
  <si>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</si>
  <si>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</si>
  <si>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</si>
  <si>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</si>
  <si>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</si>
  <si>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</si>
  <si>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</si>
  <si>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</si>
  <si>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</si>
  <si>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 xml:space="preserve">1 08 03010 01 0000 110
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</si>
  <si>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</si>
  <si>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</si>
  <si>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</si>
  <si>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</si>
  <si>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</si>
  <si>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</si>
  <si>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1 11 05012 04 0000 120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</si>
  <si>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</si>
  <si>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</si>
  <si>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</si>
  <si>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</si>
  <si>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</si>
  <si>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</si>
  <si>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</si>
  <si>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1 11 07000 00 0000 120</t>
  </si>
  <si>
    <t>Платежи от государственных и муниципальных унитарных предприятий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</si>
  <si>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</si>
  <si>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</si>
  <si>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</si>
  <si>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</si>
  <si>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</si>
  <si>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</si>
  <si>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</si>
  <si>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</si>
  <si>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</si>
  <si>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</si>
  <si>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</si>
  <si>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</si>
  <si>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</si>
  <si>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</si>
  <si>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</si>
  <si>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</si>
  <si>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</si>
  <si>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</si>
  <si>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</si>
  <si>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</si>
  <si>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1 13 00000 00 0000 000</t>
  </si>
  <si>
    <t>ДОХОДЫ ОТ ОКАЗАНИЯ ПЛАТНЫХ УСЛУГ И КОМПЕНСАЦИИ ЗАТРАТ ГОСУДАРСТВА</t>
  </si>
  <si>
    <t>1 13 01000 00 0000 130</t>
  </si>
  <si>
    <t>Доходы от оказания платных услуг (работ)</t>
  </si>
  <si>
    <t xml:space="preserve">1 13 01994 04 0000 130
</t>
  </si>
  <si>
    <t>Прочие доходы от оказания платных услуг (работ) получателями средств бюджетов городских округов</t>
  </si>
  <si>
    <t>1 13 02000 00 0000 130</t>
  </si>
  <si>
    <t>Доходы от компенсации затрат государства</t>
  </si>
  <si>
    <t>1 13 02994 04 0000 130</t>
  </si>
  <si>
    <t>Прочие доходы от компенсации затрат бюджетов городских округов</t>
  </si>
  <si>
    <t>1 14 00000 00 0000 000</t>
  </si>
  <si>
    <t>ДОХОДЫ ОТ ПРОДАЖИ МАТЕРИАЛЬНЫХ И НЕМАТЕРИАЛЬНЫХ АКТИВОВ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</si>
  <si>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</si>
  <si>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</si>
  <si>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</si>
  <si>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</si>
  <si>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</si>
  <si>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</si>
  <si>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</si>
  <si>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</si>
  <si>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</si>
  <si>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</si>
  <si>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</si>
  <si>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</si>
  <si>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</si>
  <si>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</si>
  <si>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</si>
  <si>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</si>
  <si>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</si>
  <si>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</si>
  <si>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</si>
  <si>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</si>
  <si>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</si>
  <si>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</si>
  <si>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</si>
  <si>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</si>
  <si>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</si>
  <si>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</si>
  <si>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</si>
  <si>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</si>
  <si>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</si>
  <si>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</si>
  <si>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</si>
  <si>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</si>
  <si>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</si>
  <si>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</si>
  <si>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</si>
  <si>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</si>
  <si>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</si>
  <si>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</si>
  <si>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</si>
  <si>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1 16 10000 00 0000 140</t>
  </si>
  <si>
    <t>Платежи в целях возмещения причиненного ущерба (убытков)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</si>
  <si>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</si>
  <si>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</si>
  <si>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1 16 10129 01 0000 140</t>
  </si>
  <si>
    <t>1 17 00000 00 0000 000</t>
  </si>
  <si>
    <t>ПРОЧИЕ НЕНАЛОГОВЫЕ ДОХОДЫ</t>
  </si>
  <si>
    <t>1 17 05040 04 0000 180</t>
  </si>
  <si>
    <t>Прочие неналоговые доходы бюджетов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</si>
  <si>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</si>
  <si>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</si>
  <si>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</si>
  <si>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</si>
  <si>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</si>
  <si>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</si>
  <si>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</si>
  <si>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</si>
  <si>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</si>
  <si>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</si>
  <si>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</si>
  <si>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</si>
  <si>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2 02 25097 04 0000 150</t>
  </si>
  <si>
    <t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</si>
  <si>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</si>
  <si>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</si>
  <si>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 xml:space="preserve">2 02 25555 04 0000 150
</t>
  </si>
  <si>
    <t xml:space="preserve">Субсидии бюджетам городских округов на реализацию программ формирования современной городской среды
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</si>
  <si>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</si>
  <si>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</si>
  <si>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2 02 29999 04 0000 150</t>
  </si>
  <si>
    <t>Прочие субсидии бюджетам городских округов</t>
  </si>
  <si>
    <t>2 02 30000 00 0000 150</t>
  </si>
  <si>
    <t>Субвенции бюджетам бюджетной системы Российской Федерации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</si>
  <si>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</si>
  <si>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</si>
  <si>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2 02 30029 04 0000 150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</si>
  <si>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</si>
  <si>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</si>
  <si>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</si>
  <si>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2 02 35260 04 0000 150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</si>
  <si>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</si>
  <si>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2 02 35930 04 0000 150</t>
  </si>
  <si>
    <t xml:space="preserve">Субвенции бюджетам городских округов на государственную регистрацию актов гражданского состояния </t>
  </si>
  <si>
    <t>2 02 40000 00 0000 150</t>
  </si>
  <si>
    <t>Иные межбюджетные трансферты</t>
  </si>
  <si>
    <t>2 02 49999 04 0000 150</t>
  </si>
  <si>
    <t>Прочие межбюджетные трансферты, передаваемые бюджетам городских округов</t>
  </si>
  <si>
    <t>ВСЕГО ДОХОДОВ</t>
  </si>
  <si>
    <t>руб.</t>
  </si>
  <si>
    <t xml:space="preserve">Сведения о доходах бюджета Дальнегорского городского округа </t>
  </si>
  <si>
    <t>2022 год
(проект бюджета)</t>
  </si>
  <si>
    <t>2023 год
(проект бюджета)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</si>
  <si>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</si>
  <si>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</si>
  <si>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1 17 01040 04 0000 180</t>
  </si>
  <si>
    <t>Невыясненные поступления, зачисляемые в бюджеты городских округов</t>
  </si>
  <si>
    <t xml:space="preserve">2 02 25519 04 0000 150
</t>
  </si>
  <si>
    <t>Субсидии бюджетам городских округов на поддержку отрасли культуры</t>
  </si>
  <si>
    <t>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</si>
  <si>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</si>
  <si>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2 18 04010 04 0000 150</t>
  </si>
  <si>
    <t>Доходы бюджетов городских округов от возврата бюджетными учреждениями остатков субсидий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</si>
  <si>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</si>
  <si>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</si>
  <si>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2 19 25064 04 0000 150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</si>
  <si>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 городских округов</t>
  </si>
  <si>
    <t>2 19 60010 04 0000 150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</si>
  <si>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</si>
  <si>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2 02 15001 04 0000 150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</si>
  <si>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</si>
  <si>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</si>
  <si>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</si>
  <si>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1 08 07150 01 0000 110
</t>
  </si>
  <si>
    <t>Государственная пошлина за выдачу разрешения на установку рекламной конструкции</t>
  </si>
  <si>
    <t>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</si>
  <si>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</si>
  <si>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</si>
  <si>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</si>
  <si>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2 02 35304 04 0000 150</t>
  </si>
  <si>
    <t>Субвенции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</si>
  <si>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1 16 07000 00 0000 140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</si>
  <si>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</si>
  <si>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</si>
  <si>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</si>
  <si>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</si>
  <si>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</si>
  <si>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</si>
  <si>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НАЛОГОВЫЕДОХОДЫ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</si>
  <si>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</si>
  <si>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на 2022 год и плановый период 2023 и 2024 годов</t>
  </si>
  <si>
    <t>2024 год
(проект бюджета)</t>
  </si>
  <si>
    <t>2021 год
(ожидаемое исполнение)</t>
  </si>
  <si>
    <t>2020 год
(исполнение)</t>
  </si>
  <si>
    <t>1 01 02080 01 0000 110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</si>
  <si>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
</t>
  </si>
  <si>
    <t>Плата по соглашениям об установлении сервитута, заключенным органами исполнительной власти субъектов Российской Федерации, государственными или муниципальными предприятиями либо государственными или муниципальными учреждениями в отношении земельных участков, которые расположены в границах городских округов,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</si>
  <si>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1 11 05326 04 0000 120</t>
  </si>
  <si>
    <t>1 16 10100 04 0000 140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</si>
  <si>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</si>
  <si>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</si>
  <si>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</si>
  <si>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1 16 11000 01 0000 140</t>
  </si>
  <si>
    <t>Платежи, уплачиваемые в целях возмещения вреда</t>
  </si>
  <si>
    <t>2 02 49001 04 0000 150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</si>
  <si>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</si>
  <si>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ЗАДОЛЖЕННОСТЬ И ПЕРЕРАСЧЕТЫ ПО ОТМЕНЕННЫМ НАЛОГАМ, СБОРАМ И ИНЫМ ОБЯЗАТЕЛЬНЫМ ПЛАТЕЖАМ</t>
  </si>
  <si>
    <t>1 09 00000 00 0000 000</t>
  </si>
  <si>
    <t>Налог на рекламу, мобилизуемый на территориях городских округов</t>
  </si>
  <si>
    <t>1 09 07012 04 0000 110</t>
  </si>
  <si>
    <t>2 02 35469 04 0000 150</t>
  </si>
  <si>
    <t>Субвенции бюджетам городских округов на проведение Всероссийской переписи населения 2020 года</t>
  </si>
  <si>
    <t>2 02 36900 04 0000 150</t>
  </si>
  <si>
    <t>Единая субвенция бюджетам городских округов из бюджета субъекта Российской Федерации</t>
  </si>
  <si>
    <t>2 02 39999 04 0000 150</t>
  </si>
  <si>
    <t>Прочие субвенции бюджетам городских округов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</si>
  <si>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</si>
  <si>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</si>
  <si>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
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</si>
  <si>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</si>
  <si>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>1 16 01103 01 0000 140</t>
  </si>
  <si>
    <t>1 16 01133 01 0000 140</t>
  </si>
  <si>
    <t>1 14 02043 04 0000 440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</si>
  <si>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</si>
  <si>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1 17 05040 04 1003 180</t>
  </si>
  <si>
    <t>1 17 05040 04 1004 180</t>
  </si>
  <si>
    <t>1 17 05040 04 1005 180</t>
  </si>
  <si>
    <t>плата за включение хозяйствующего субъекта в схему размещения нестационарных торговых объектов</t>
  </si>
  <si>
    <t>плата за выдачу разрешения на использование земель или земельных участков, находящихся в государственной или муниципальной собственности, без предоставления земельных участков и установления сервитута</t>
  </si>
  <si>
    <t>плата за установку и эксплуатацию рекламных конструкций, расположенных на земельных участках, государственная собственность на которые не разграничена</t>
  </si>
  <si>
    <t>1 11 09044 04 1002 120</t>
  </si>
  <si>
    <t>1 11 09044 04 1003 120</t>
  </si>
  <si>
    <t>плата за предоставление муниципального рекламного места</t>
  </si>
  <si>
    <t>плата за наём жилья</t>
  </si>
  <si>
    <t>Отклонение от исполнения отчетного (2020) финансового года</t>
  </si>
  <si>
    <t>Отклонение от ожидаемого исполнения текущего (2021) финансового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</si>
</sst>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2" x14ac:knownFonts="1">
    <font>
      <sz val="10"/>
      <name val="Arial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Arial Cyr"/>
      <charset val="204"/>
    </font>
    <font>
      <b/>
      <i/>
      <sz val="12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1" fillId="0" borderId="0" xfId="0" applyNumberFormat="1" applyFont="1" applyFill="1"/>
    <xf numFmtId="0" fontId="3" fillId="0" borderId="0" xfId="0" applyFont="1" applyFill="1"/>
    <xf numFmtId="0" fontId="7" fillId="0" borderId="1" xfId="0" applyFont="1" applyFill="1" applyBorder="1" applyAlignment="1">
      <alignment vertical="top" wrapText="1"/>
    </xf>
    <xf numFmtId="4" fontId="7" fillId="0" borderId="1" xfId="0" applyNumberFormat="1" applyFont="1" applyFill="1" applyBorder="1" applyAlignment="1">
      <alignment vertical="top"/>
    </xf>
    <xf numFmtId="0" fontId="9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4" fontId="8" fillId="0" borderId="1" xfId="0" applyNumberFormat="1" applyFont="1" applyFill="1" applyBorder="1" applyAlignment="1">
      <alignment vertical="top"/>
    </xf>
    <xf numFmtId="0" fontId="2" fillId="0" borderId="0" xfId="0" applyFont="1" applyFill="1"/>
    <xf numFmtId="4" fontId="1" fillId="0" borderId="0" xfId="0" applyNumberFormat="1" applyFont="1" applyFill="1"/>
    <xf numFmtId="1" fontId="7" fillId="0" borderId="1" xfId="0" applyNumberFormat="1" applyFont="1" applyFill="1" applyBorder="1" applyAlignment="1">
      <alignment horizontal="center" vertical="top" wrapText="1"/>
    </xf>
    <xf numFmtId="164" fontId="8" fillId="0" borderId="0" xfId="0" applyNumberFormat="1" applyFont="1" applyFill="1" applyBorder="1"/>
    <xf numFmtId="164" fontId="8" fillId="0" borderId="0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vertical="top"/>
    </xf>
    <xf numFmtId="0" fontId="2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justify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8" fillId="0" borderId="1" xfId="0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/>
    </xf>
    <xf numFmtId="0" fontId="1" fillId="0" borderId="0" xfId="0" applyFont="1" applyFill="1"/>
    <xf numFmtId="0" fontId="1" fillId="0" borderId="0" xfId="0" applyFont="1" applyFill="1" applyAlignment="1">
      <alignment horizontal="justify"/>
    </xf>
    <xf numFmtId="49" fontId="3" fillId="0" borderId="0" xfId="0" applyNumberFormat="1" applyFont="1" applyFill="1"/>
    <xf numFmtId="4" fontId="3" fillId="0" borderId="0" xfId="0" applyNumberFormat="1" applyFont="1" applyFill="1"/>
    <xf numFmtId="4" fontId="4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4" fontId="6" fillId="0" borderId="0" xfId="0" applyNumberFormat="1" applyFont="1" applyFill="1" applyAlignment="1">
      <alignment horizontal="justify" wrapText="1"/>
    </xf>
    <xf numFmtId="0" fontId="2" fillId="0" borderId="0" xfId="0" applyFont="1" applyFill="1" applyAlignment="1">
      <alignment horizontal="justify"/>
    </xf>
    <xf numFmtId="164" fontId="4" fillId="0" borderId="0" xfId="0" applyNumberFormat="1" applyFont="1" applyFill="1"/>
    <xf numFmtId="0" fontId="11" fillId="0" borderId="0" xfId="0" applyFont="1" applyFill="1" applyAlignment="1">
      <alignment horizontal="justify"/>
    </xf>
    <xf numFmtId="4" fontId="9" fillId="0" borderId="0" xfId="0" applyNumberFormat="1" applyFont="1" applyFill="1"/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154"/>
  <sheetViews>
    <sheetView tabSelected="1" topLeftCell="A7" zoomScale="70" zoomScaleNormal="70" zoomScaleSheetLayoutView="70" workbookViewId="0">
      <pane xSplit="2" ySplit="6" topLeftCell="C13" activePane="bottomRight" state="frozen"/>
      <selection activeCell="A7" sqref="A7"/>
      <selection pane="topRight" activeCell="C7" sqref="C7"/>
      <selection pane="bottomLeft" activeCell="A13" sqref="A13"/>
      <selection pane="bottomRight" activeCell="G12" sqref="G12"/>
    </sheetView>
  </sheetViews>
  <sheetFormatPr defaultRowHeight="12" outlineLevelRow="1" x14ac:dyDescent="0.2"/>
  <cols>
    <col min="1" max="1" width="24.85546875" style="8" customWidth="1"/>
    <col min="2" max="2" width="50.85546875" style="31" customWidth="1"/>
    <col min="3" max="3" width="21" style="1" customWidth="1"/>
    <col min="4" max="4" width="19.28515625" style="1" customWidth="1"/>
    <col min="5" max="5" width="20.42578125" style="1" customWidth="1"/>
    <col min="6" max="6" width="20.5703125" style="1" bestFit="1" customWidth="1"/>
    <col min="7" max="7" width="19.7109375" style="1" customWidth="1"/>
    <col min="8" max="8" width="19.28515625" style="1" customWidth="1"/>
    <col min="9" max="9" width="20" style="1" customWidth="1"/>
    <col min="10" max="10" width="18.85546875" style="8" hidden="1" customWidth="1"/>
    <col min="11" max="11" width="18.5703125" style="8" customWidth="1"/>
    <col min="12" max="16384" width="9.140625" style="8"/>
  </cols>
  <sheetData>
    <row r="1" spans="1:10" x14ac:dyDescent="0.2">
      <c r="A1" s="23"/>
      <c r="B1" s="24"/>
    </row>
    <row r="2" spans="1:10" s="2" customFormat="1" ht="15" collapsed="1" x14ac:dyDescent="0.25">
      <c r="A2" s="25"/>
      <c r="B2" s="26"/>
      <c r="C2" s="27"/>
      <c r="E2" s="27"/>
      <c r="F2" s="28"/>
      <c r="H2" s="28"/>
    </row>
    <row r="3" spans="1:10" s="2" customFormat="1" ht="15" x14ac:dyDescent="0.25">
      <c r="A3" s="25"/>
      <c r="B3" s="26"/>
      <c r="C3" s="27"/>
      <c r="E3" s="27"/>
      <c r="F3" s="28"/>
      <c r="H3" s="28"/>
    </row>
    <row r="4" spans="1:10" s="2" customFormat="1" ht="15" x14ac:dyDescent="0.25">
      <c r="A4" s="25"/>
      <c r="B4" s="26"/>
      <c r="C4" s="27"/>
      <c r="E4" s="27"/>
      <c r="F4" s="28"/>
      <c r="H4" s="28"/>
    </row>
    <row r="5" spans="1:10" s="2" customFormat="1" ht="15" x14ac:dyDescent="0.25">
      <c r="A5" s="25"/>
      <c r="B5" s="26"/>
      <c r="C5" s="27"/>
      <c r="E5" s="27"/>
      <c r="F5" s="28"/>
      <c r="H5" s="28"/>
    </row>
    <row r="6" spans="1:10" s="2" customFormat="1" ht="13.5" customHeight="1" x14ac:dyDescent="0.2">
      <c r="A6" s="25"/>
      <c r="B6" s="29"/>
      <c r="C6" s="30"/>
      <c r="E6" s="30"/>
    </row>
    <row r="7" spans="1:10" s="15" customFormat="1" ht="15.75" customHeight="1" x14ac:dyDescent="0.2">
      <c r="A7" s="35" t="s">
        <v>192</v>
      </c>
      <c r="B7" s="35"/>
      <c r="C7" s="35"/>
      <c r="D7" s="35"/>
      <c r="E7" s="35"/>
      <c r="F7" s="35"/>
      <c r="G7" s="35"/>
      <c r="H7" s="35"/>
      <c r="I7" s="35"/>
    </row>
    <row r="8" spans="1:10" s="15" customFormat="1" ht="13.5" customHeight="1" x14ac:dyDescent="0.2">
      <c r="A8" s="35"/>
      <c r="B8" s="35"/>
      <c r="C8" s="35"/>
      <c r="D8" s="35"/>
      <c r="E8" s="35"/>
      <c r="F8" s="35"/>
      <c r="G8" s="35"/>
      <c r="H8" s="35"/>
      <c r="I8" s="35"/>
    </row>
    <row r="9" spans="1:10" s="15" customFormat="1" ht="17.25" customHeight="1" x14ac:dyDescent="0.25">
      <c r="A9" s="36" t="s">
        <v>232</v>
      </c>
      <c r="B9" s="36"/>
      <c r="C9" s="36"/>
      <c r="D9" s="36"/>
      <c r="E9" s="36"/>
      <c r="F9" s="36"/>
      <c r="G9" s="36"/>
      <c r="H9" s="36"/>
      <c r="I9" s="36"/>
    </row>
    <row r="10" spans="1:10" s="15" customFormat="1" ht="15.75" x14ac:dyDescent="0.25">
      <c r="A10" s="16"/>
      <c r="B10" s="17"/>
      <c r="C10" s="11"/>
      <c r="D10" s="11"/>
      <c r="E10" s="11"/>
      <c r="F10" s="16"/>
      <c r="G10" s="12"/>
      <c r="H10" s="16"/>
      <c r="I10" s="12" t="s">
        <v>191</v>
      </c>
    </row>
    <row r="11" spans="1:10" s="20" customFormat="1" ht="94.5" x14ac:dyDescent="0.2">
      <c r="A11" s="18" t="s">
        <v>0</v>
      </c>
      <c r="B11" s="19" t="s">
        <v>1</v>
      </c>
      <c r="C11" s="10" t="s">
        <v>235</v>
      </c>
      <c r="D11" s="10" t="s">
        <v>234</v>
      </c>
      <c r="E11" s="10" t="s">
        <v>193</v>
      </c>
      <c r="F11" s="10" t="s">
        <v>276</v>
      </c>
      <c r="G11" s="10" t="s">
        <v>277</v>
      </c>
      <c r="H11" s="10" t="s">
        <v>194</v>
      </c>
      <c r="I11" s="10" t="s">
        <v>233</v>
      </c>
    </row>
    <row r="12" spans="1:10" s="5" customFormat="1" ht="18" customHeight="1" x14ac:dyDescent="0.2">
      <c r="A12" s="3" t="s">
        <v>2</v>
      </c>
      <c r="B12" s="13" t="s">
        <v>3</v>
      </c>
      <c r="C12" s="4">
        <f>C13+C48+C47</f>
        <v>683545045.73000002</v>
      </c>
      <c r="D12" s="4">
        <f t="shared" ref="D12:E12" si="0">D13+D48+D47</f>
        <v>659898438.50999999</v>
      </c>
      <c r="E12" s="4">
        <f t="shared" si="0"/>
        <v>826322646.79999995</v>
      </c>
      <c r="F12" s="4">
        <f>E12-C12</f>
        <v>142777601.06999993</v>
      </c>
      <c r="G12" s="4">
        <f>E12-D12</f>
        <v>166424208.28999996</v>
      </c>
      <c r="H12" s="4">
        <f t="shared" ref="H12:J12" si="1">H13+H48+H47</f>
        <v>839592108.79999995</v>
      </c>
      <c r="I12" s="4">
        <f t="shared" si="1"/>
        <v>860088294.79999995</v>
      </c>
      <c r="J12" s="4">
        <f t="shared" si="1"/>
        <v>672022400.30999994</v>
      </c>
    </row>
    <row r="13" spans="1:10" s="5" customFormat="1" ht="15.75" x14ac:dyDescent="0.2">
      <c r="A13" s="3"/>
      <c r="B13" s="13" t="s">
        <v>230</v>
      </c>
      <c r="C13" s="4">
        <f>C15+C23+C28+C37+C43+C46</f>
        <v>637572686.63999999</v>
      </c>
      <c r="D13" s="4">
        <f>D15+D23+D28+D37+D43</f>
        <v>622075615</v>
      </c>
      <c r="E13" s="4">
        <f>E15+E23+E28+E37+E43</f>
        <v>783410390</v>
      </c>
      <c r="F13" s="4">
        <f t="shared" ref="F13:F90" si="2">E13-C13</f>
        <v>145837703.36000001</v>
      </c>
      <c r="G13" s="4">
        <f t="shared" ref="G13:G90" si="3">E13-D13</f>
        <v>161334775</v>
      </c>
      <c r="H13" s="4">
        <f>H15+H23+H28+H37+H43</f>
        <v>797347910</v>
      </c>
      <c r="I13" s="4">
        <f>I15+I23+I28+I37+I43</f>
        <v>817538910</v>
      </c>
      <c r="J13" s="4">
        <f>J15+J23+J28+J37+J43</f>
        <v>623809825</v>
      </c>
    </row>
    <row r="14" spans="1:10" s="5" customFormat="1" ht="15.75" x14ac:dyDescent="0.2">
      <c r="A14" s="3" t="s">
        <v>4</v>
      </c>
      <c r="B14" s="13" t="s">
        <v>5</v>
      </c>
      <c r="C14" s="4">
        <f t="shared" ref="C14:E14" si="4">C15</f>
        <v>557593462.10000002</v>
      </c>
      <c r="D14" s="4">
        <f t="shared" si="4"/>
        <v>553056795</v>
      </c>
      <c r="E14" s="4">
        <f t="shared" si="4"/>
        <v>663423000</v>
      </c>
      <c r="F14" s="4">
        <f t="shared" ref="F14" si="5">E14-C14</f>
        <v>105829537.89999998</v>
      </c>
      <c r="G14" s="4">
        <f t="shared" ref="G14" si="6">E14-D14</f>
        <v>110366205</v>
      </c>
      <c r="H14" s="4">
        <f t="shared" ref="H14:J14" si="7">H15</f>
        <v>670228000</v>
      </c>
      <c r="I14" s="4">
        <f t="shared" si="7"/>
        <v>680484000</v>
      </c>
      <c r="J14" s="4">
        <f t="shared" si="7"/>
        <v>553056795</v>
      </c>
    </row>
    <row r="15" spans="1:10" s="5" customFormat="1" ht="15.75" x14ac:dyDescent="0.2">
      <c r="A15" s="3" t="s">
        <v>6</v>
      </c>
      <c r="B15" s="13" t="s">
        <v>7</v>
      </c>
      <c r="C15" s="4">
        <f>SUM(C16:C21)</f>
        <v>557593462.10000002</v>
      </c>
      <c r="D15" s="4">
        <f>SUM(D16:D21)</f>
        <v>553056795</v>
      </c>
      <c r="E15" s="4">
        <f>SUM(E16:E21)</f>
        <v>663423000</v>
      </c>
      <c r="F15" s="4">
        <f t="shared" si="2"/>
        <v>105829537.89999998</v>
      </c>
      <c r="G15" s="4">
        <f t="shared" si="3"/>
        <v>110366205</v>
      </c>
      <c r="H15" s="4">
        <f>SUM(H16:H21)</f>
        <v>670228000</v>
      </c>
      <c r="I15" s="4">
        <f>SUM(I16:I21)</f>
        <v>680484000</v>
      </c>
      <c r="J15" s="4">
        <f>SUM(J16:J21)</f>
        <v>553056795</v>
      </c>
    </row>
    <row r="16" spans="1:10" ht="96" customHeight="1" outlineLevel="1" x14ac:dyDescent="0.2">
      <c r="A16" s="21" t="s">
        <v>8</v>
      </c>
      <c r="B16" s="6" t="s">
        <v>9</v>
      </c>
      <c r="C16" s="7">
        <v>553077218.25</v>
      </c>
      <c r="D16" s="7">
        <v>547505330</v>
      </c>
      <c r="E16" s="7">
        <v>644672000</v>
      </c>
      <c r="F16" s="7">
        <f t="shared" si="2"/>
        <v>91594781.75</v>
      </c>
      <c r="G16" s="7">
        <f t="shared" si="3"/>
        <v>97166670</v>
      </c>
      <c r="H16" s="7">
        <v>651258000</v>
      </c>
      <c r="I16" s="7">
        <v>661122000</v>
      </c>
      <c r="J16" s="7">
        <f>547505330-12200000</f>
        <v>535305330</v>
      </c>
    </row>
    <row r="17" spans="1:10" ht="141.75" outlineLevel="1" x14ac:dyDescent="0.2">
      <c r="A17" s="21" t="s">
        <v>10</v>
      </c>
      <c r="B17" s="6" t="s">
        <v>11</v>
      </c>
      <c r="C17" s="7">
        <v>2086939.85</v>
      </c>
      <c r="D17" s="7">
        <v>2449537</v>
      </c>
      <c r="E17" s="7">
        <v>2900000</v>
      </c>
      <c r="F17" s="7">
        <f t="shared" si="2"/>
        <v>813060.14999999991</v>
      </c>
      <c r="G17" s="7">
        <f t="shared" si="3"/>
        <v>450463</v>
      </c>
      <c r="H17" s="7">
        <v>2950000</v>
      </c>
      <c r="I17" s="7">
        <v>3040000</v>
      </c>
      <c r="J17" s="7">
        <v>2449537</v>
      </c>
    </row>
    <row r="18" spans="1:10" ht="65.25" customHeight="1" outlineLevel="1" x14ac:dyDescent="0.2">
      <c r="A18" s="21" t="s">
        <v>12</v>
      </c>
      <c r="B18" s="6" t="s">
        <v>13</v>
      </c>
      <c r="C18" s="7">
        <v>2031603.49</v>
      </c>
      <c r="D18" s="7">
        <v>2486928</v>
      </c>
      <c r="E18" s="7">
        <v>3700000</v>
      </c>
      <c r="F18" s="7">
        <f t="shared" si="2"/>
        <v>1668396.51</v>
      </c>
      <c r="G18" s="7">
        <f t="shared" si="3"/>
        <v>1213072</v>
      </c>
      <c r="H18" s="7">
        <v>3750000</v>
      </c>
      <c r="I18" s="7">
        <v>3810000</v>
      </c>
      <c r="J18" s="7">
        <f>2486928+600000</f>
        <v>3086928</v>
      </c>
    </row>
    <row r="19" spans="1:10" ht="111" customHeight="1" outlineLevel="1" x14ac:dyDescent="0.2">
      <c r="A19" s="21" t="s">
        <v>14</v>
      </c>
      <c r="B19" s="6" t="s">
        <v>15</v>
      </c>
      <c r="C19" s="7">
        <v>397700.5</v>
      </c>
      <c r="D19" s="7">
        <v>615000</v>
      </c>
      <c r="E19" s="7">
        <v>700000</v>
      </c>
      <c r="F19" s="7">
        <f t="shared" si="2"/>
        <v>302299.5</v>
      </c>
      <c r="G19" s="7">
        <f t="shared" si="3"/>
        <v>85000</v>
      </c>
      <c r="H19" s="7">
        <v>715000</v>
      </c>
      <c r="I19" s="7">
        <v>740000</v>
      </c>
      <c r="J19" s="7">
        <v>615000</v>
      </c>
    </row>
    <row r="20" spans="1:10" ht="66" customHeight="1" outlineLevel="1" x14ac:dyDescent="0.2">
      <c r="A20" s="21" t="s">
        <v>16</v>
      </c>
      <c r="B20" s="6" t="s">
        <v>17</v>
      </c>
      <c r="C20" s="7">
        <v>0.01</v>
      </c>
      <c r="D20" s="7"/>
      <c r="E20" s="7"/>
      <c r="F20" s="7">
        <f t="shared" si="2"/>
        <v>-0.01</v>
      </c>
      <c r="G20" s="7">
        <f t="shared" si="3"/>
        <v>0</v>
      </c>
      <c r="H20" s="7"/>
      <c r="I20" s="7"/>
      <c r="J20" s="7"/>
    </row>
    <row r="21" spans="1:10" ht="141.75" outlineLevel="1" x14ac:dyDescent="0.2">
      <c r="A21" s="21" t="s">
        <v>236</v>
      </c>
      <c r="B21" s="6" t="s">
        <v>237</v>
      </c>
      <c r="C21" s="7"/>
      <c r="D21" s="7"/>
      <c r="E21" s="7">
        <v>11451000</v>
      </c>
      <c r="F21" s="7">
        <f t="shared" si="2"/>
        <v>11451000</v>
      </c>
      <c r="G21" s="7">
        <f t="shared" si="3"/>
        <v>11451000</v>
      </c>
      <c r="H21" s="7">
        <v>11555000</v>
      </c>
      <c r="I21" s="7">
        <v>11772000</v>
      </c>
      <c r="J21" s="7">
        <v>11600000</v>
      </c>
    </row>
    <row r="22" spans="1:10" s="5" customFormat="1" ht="47.25" x14ac:dyDescent="0.2">
      <c r="A22" s="3" t="s">
        <v>18</v>
      </c>
      <c r="B22" s="13" t="s">
        <v>19</v>
      </c>
      <c r="C22" s="4">
        <f>C23</f>
        <v>10232223.550000001</v>
      </c>
      <c r="D22" s="4">
        <f>D23</f>
        <v>11588530</v>
      </c>
      <c r="E22" s="4">
        <f>E23</f>
        <v>12701390</v>
      </c>
      <c r="F22" s="4">
        <f t="shared" si="2"/>
        <v>2469166.4499999993</v>
      </c>
      <c r="G22" s="4">
        <f t="shared" si="3"/>
        <v>1112860</v>
      </c>
      <c r="H22" s="4">
        <f>H23</f>
        <v>13998910</v>
      </c>
      <c r="I22" s="4">
        <f>I23</f>
        <v>13998910</v>
      </c>
      <c r="J22" s="4">
        <f>J23</f>
        <v>11588530</v>
      </c>
    </row>
    <row r="23" spans="1:10" ht="47.25" outlineLevel="1" x14ac:dyDescent="0.2">
      <c r="A23" s="3" t="s">
        <v>20</v>
      </c>
      <c r="B23" s="13" t="s">
        <v>21</v>
      </c>
      <c r="C23" s="4">
        <f>SUM(C24:C27)</f>
        <v>10232223.550000001</v>
      </c>
      <c r="D23" s="4">
        <f>SUM(D24:D27)</f>
        <v>11588530</v>
      </c>
      <c r="E23" s="4">
        <f>SUM(E24:E27)</f>
        <v>12701390</v>
      </c>
      <c r="F23" s="4">
        <f t="shared" si="2"/>
        <v>2469166.4499999993</v>
      </c>
      <c r="G23" s="4">
        <f t="shared" si="3"/>
        <v>1112860</v>
      </c>
      <c r="H23" s="4">
        <f>SUM(H24:H27)</f>
        <v>13998910</v>
      </c>
      <c r="I23" s="4">
        <f>SUM(I24:I27)</f>
        <v>13998910</v>
      </c>
      <c r="J23" s="4">
        <f>SUM(J24:J27)</f>
        <v>11588530</v>
      </c>
    </row>
    <row r="24" spans="1:10" ht="141.75" customHeight="1" outlineLevel="1" x14ac:dyDescent="0.2">
      <c r="A24" s="21" t="s">
        <v>22</v>
      </c>
      <c r="B24" s="6" t="s">
        <v>23</v>
      </c>
      <c r="C24" s="7">
        <v>4719487.8</v>
      </c>
      <c r="D24" s="7">
        <v>5321040</v>
      </c>
      <c r="E24" s="7">
        <v>5839060</v>
      </c>
      <c r="F24" s="7">
        <f t="shared" si="2"/>
        <v>1119572.2000000002</v>
      </c>
      <c r="G24" s="7">
        <f t="shared" si="3"/>
        <v>518020</v>
      </c>
      <c r="H24" s="7">
        <v>6481250</v>
      </c>
      <c r="I24" s="7">
        <v>6481250</v>
      </c>
      <c r="J24" s="7">
        <v>5321040</v>
      </c>
    </row>
    <row r="25" spans="1:10" ht="162" customHeight="1" outlineLevel="1" x14ac:dyDescent="0.2">
      <c r="A25" s="21" t="s">
        <v>24</v>
      </c>
      <c r="B25" s="6" t="s">
        <v>25</v>
      </c>
      <c r="C25" s="7">
        <v>33757.18</v>
      </c>
      <c r="D25" s="7">
        <v>30320</v>
      </c>
      <c r="E25" s="7">
        <v>32950</v>
      </c>
      <c r="F25" s="7">
        <f t="shared" si="2"/>
        <v>-807.18000000000029</v>
      </c>
      <c r="G25" s="7">
        <f t="shared" si="3"/>
        <v>2630</v>
      </c>
      <c r="H25" s="7">
        <v>36200</v>
      </c>
      <c r="I25" s="7">
        <v>36200</v>
      </c>
      <c r="J25" s="7">
        <v>30320</v>
      </c>
    </row>
    <row r="26" spans="1:10" ht="143.25" customHeight="1" outlineLevel="1" x14ac:dyDescent="0.2">
      <c r="A26" s="21" t="s">
        <v>26</v>
      </c>
      <c r="B26" s="6" t="s">
        <v>27</v>
      </c>
      <c r="C26" s="7">
        <v>6349037.0899999999</v>
      </c>
      <c r="D26" s="7">
        <v>6999520</v>
      </c>
      <c r="E26" s="7">
        <v>7661160</v>
      </c>
      <c r="F26" s="7">
        <f t="shared" si="2"/>
        <v>1312122.9100000001</v>
      </c>
      <c r="G26" s="7">
        <f t="shared" si="3"/>
        <v>661640</v>
      </c>
      <c r="H26" s="7">
        <v>8476490</v>
      </c>
      <c r="I26" s="7">
        <v>8476490</v>
      </c>
      <c r="J26" s="7">
        <v>6999520</v>
      </c>
    </row>
    <row r="27" spans="1:10" ht="143.25" customHeight="1" outlineLevel="1" x14ac:dyDescent="0.2">
      <c r="A27" s="21" t="s">
        <v>28</v>
      </c>
      <c r="B27" s="6" t="s">
        <v>29</v>
      </c>
      <c r="C27" s="7">
        <v>-870058.52</v>
      </c>
      <c r="D27" s="7">
        <v>-762350</v>
      </c>
      <c r="E27" s="7">
        <v>-831780</v>
      </c>
      <c r="F27" s="7">
        <f t="shared" si="2"/>
        <v>38278.520000000019</v>
      </c>
      <c r="G27" s="7">
        <f t="shared" si="3"/>
        <v>-69430</v>
      </c>
      <c r="H27" s="7">
        <v>-995030</v>
      </c>
      <c r="I27" s="7">
        <v>-995030</v>
      </c>
      <c r="J27" s="7">
        <v>-762350</v>
      </c>
    </row>
    <row r="28" spans="1:10" s="5" customFormat="1" ht="15.75" x14ac:dyDescent="0.2">
      <c r="A28" s="3" t="s">
        <v>30</v>
      </c>
      <c r="B28" s="13" t="s">
        <v>31</v>
      </c>
      <c r="C28" s="4">
        <f>C29+C32+C35+C36</f>
        <v>29944114.620000001</v>
      </c>
      <c r="D28" s="4">
        <f t="shared" ref="D28:E28" si="8">D29+D32+D35+D36</f>
        <v>12773290</v>
      </c>
      <c r="E28" s="4">
        <f t="shared" si="8"/>
        <v>69138000</v>
      </c>
      <c r="F28" s="4">
        <f t="shared" si="2"/>
        <v>39193885.379999995</v>
      </c>
      <c r="G28" s="4">
        <f t="shared" si="3"/>
        <v>56364710</v>
      </c>
      <c r="H28" s="4">
        <f t="shared" ref="H28:J28" si="9">H29+H32+H35+H36</f>
        <v>71922000</v>
      </c>
      <c r="I28" s="4">
        <f t="shared" si="9"/>
        <v>74241000</v>
      </c>
      <c r="J28" s="4">
        <f t="shared" si="9"/>
        <v>25819500</v>
      </c>
    </row>
    <row r="29" spans="1:10" s="5" customFormat="1" ht="31.5" outlineLevel="1" x14ac:dyDescent="0.2">
      <c r="A29" s="3" t="s">
        <v>224</v>
      </c>
      <c r="B29" s="13" t="s">
        <v>225</v>
      </c>
      <c r="C29" s="4">
        <f>SUM(C30:C31)</f>
        <v>0</v>
      </c>
      <c r="D29" s="4">
        <f>SUM(D30:D31)</f>
        <v>1984290</v>
      </c>
      <c r="E29" s="4">
        <f>SUM(E30:E31)</f>
        <v>49879000</v>
      </c>
      <c r="F29" s="4">
        <f t="shared" ref="F29:F31" si="10">E29-C29</f>
        <v>49879000</v>
      </c>
      <c r="G29" s="4">
        <f t="shared" ref="G29:G31" si="11">E29-D29</f>
        <v>47894710</v>
      </c>
      <c r="H29" s="4">
        <f>SUM(H30:H31)</f>
        <v>51967000</v>
      </c>
      <c r="I29" s="4">
        <f>SUM(I30:I31)</f>
        <v>53797000</v>
      </c>
      <c r="J29" s="4">
        <f>SUM(J30:J31)</f>
        <v>2259000</v>
      </c>
    </row>
    <row r="30" spans="1:10" ht="47.25" outlineLevel="1" x14ac:dyDescent="0.2">
      <c r="A30" s="21" t="s">
        <v>226</v>
      </c>
      <c r="B30" s="6" t="s">
        <v>227</v>
      </c>
      <c r="C30" s="7"/>
      <c r="D30" s="7">
        <v>1468767</v>
      </c>
      <c r="E30" s="7">
        <v>39172000</v>
      </c>
      <c r="F30" s="7">
        <f t="shared" si="10"/>
        <v>39172000</v>
      </c>
      <c r="G30" s="7">
        <f t="shared" si="11"/>
        <v>37703233</v>
      </c>
      <c r="H30" s="7">
        <v>40585000</v>
      </c>
      <c r="I30" s="7">
        <v>41579000</v>
      </c>
      <c r="J30" s="7">
        <f>1468767-181137</f>
        <v>1287630</v>
      </c>
    </row>
    <row r="31" spans="1:10" ht="48.75" customHeight="1" outlineLevel="1" x14ac:dyDescent="0.2">
      <c r="A31" s="21" t="s">
        <v>228</v>
      </c>
      <c r="B31" s="6" t="s">
        <v>229</v>
      </c>
      <c r="C31" s="7"/>
      <c r="D31" s="7">
        <v>515523</v>
      </c>
      <c r="E31" s="7">
        <v>10707000</v>
      </c>
      <c r="F31" s="7">
        <f t="shared" si="10"/>
        <v>10707000</v>
      </c>
      <c r="G31" s="7">
        <f t="shared" si="11"/>
        <v>10191477</v>
      </c>
      <c r="H31" s="7">
        <v>11382000</v>
      </c>
      <c r="I31" s="7">
        <v>12218000</v>
      </c>
      <c r="J31" s="7">
        <f>515523+455847</f>
        <v>971370</v>
      </c>
    </row>
    <row r="32" spans="1:10" s="5" customFormat="1" ht="31.5" outlineLevel="1" x14ac:dyDescent="0.2">
      <c r="A32" s="3" t="s">
        <v>32</v>
      </c>
      <c r="B32" s="13" t="s">
        <v>33</v>
      </c>
      <c r="C32" s="4">
        <f>SUM(C33:C34)</f>
        <v>28857617.93</v>
      </c>
      <c r="D32" s="4">
        <f>SUM(D33:D34)</f>
        <v>7672000</v>
      </c>
      <c r="E32" s="4">
        <f>SUM(E33:E34)</f>
        <v>0</v>
      </c>
      <c r="F32" s="4">
        <f t="shared" si="2"/>
        <v>-28857617.93</v>
      </c>
      <c r="G32" s="4">
        <f t="shared" si="3"/>
        <v>-7672000</v>
      </c>
      <c r="H32" s="4">
        <f>SUM(H33:H34)</f>
        <v>0</v>
      </c>
      <c r="I32" s="4">
        <f>SUM(I33:I34)</f>
        <v>0</v>
      </c>
      <c r="J32" s="4">
        <f>SUM(J33:J34)</f>
        <v>6596500</v>
      </c>
    </row>
    <row r="33" spans="1:10" ht="31.5" customHeight="1" outlineLevel="1" x14ac:dyDescent="0.2">
      <c r="A33" s="21" t="s">
        <v>34</v>
      </c>
      <c r="B33" s="6" t="s">
        <v>33</v>
      </c>
      <c r="C33" s="7">
        <v>28855256.690000001</v>
      </c>
      <c r="D33" s="7">
        <v>7672000</v>
      </c>
      <c r="E33" s="7"/>
      <c r="F33" s="7">
        <f t="shared" si="2"/>
        <v>-28855256.690000001</v>
      </c>
      <c r="G33" s="7">
        <f t="shared" si="3"/>
        <v>-7672000</v>
      </c>
      <c r="H33" s="7"/>
      <c r="I33" s="7"/>
      <c r="J33" s="7">
        <f>7672000-1075500</f>
        <v>6596500</v>
      </c>
    </row>
    <row r="34" spans="1:10" ht="48.75" customHeight="1" outlineLevel="1" x14ac:dyDescent="0.2">
      <c r="A34" s="21" t="s">
        <v>35</v>
      </c>
      <c r="B34" s="6" t="s">
        <v>36</v>
      </c>
      <c r="C34" s="7">
        <v>2361.2399999999998</v>
      </c>
      <c r="D34" s="7"/>
      <c r="E34" s="7"/>
      <c r="F34" s="7">
        <f t="shared" si="2"/>
        <v>-2361.2399999999998</v>
      </c>
      <c r="G34" s="7">
        <f t="shared" si="3"/>
        <v>0</v>
      </c>
      <c r="H34" s="7"/>
      <c r="I34" s="7"/>
      <c r="J34" s="7"/>
    </row>
    <row r="35" spans="1:10" s="5" customFormat="1" ht="15.75" outlineLevel="1" x14ac:dyDescent="0.2">
      <c r="A35" s="3" t="s">
        <v>37</v>
      </c>
      <c r="B35" s="13" t="s">
        <v>38</v>
      </c>
      <c r="C35" s="4">
        <v>59197</v>
      </c>
      <c r="D35" s="4">
        <v>2496000</v>
      </c>
      <c r="E35" s="4">
        <v>5878000</v>
      </c>
      <c r="F35" s="4">
        <f t="shared" si="2"/>
        <v>5818803</v>
      </c>
      <c r="G35" s="4">
        <f t="shared" si="3"/>
        <v>3382000</v>
      </c>
      <c r="H35" s="4">
        <v>6091000</v>
      </c>
      <c r="I35" s="4">
        <v>6240000</v>
      </c>
      <c r="J35" s="4">
        <f>2496000+3176000</f>
        <v>5672000</v>
      </c>
    </row>
    <row r="36" spans="1:10" s="5" customFormat="1" ht="47.25" outlineLevel="1" x14ac:dyDescent="0.2">
      <c r="A36" s="3" t="s">
        <v>39</v>
      </c>
      <c r="B36" s="13" t="s">
        <v>40</v>
      </c>
      <c r="C36" s="4">
        <v>1027299.69</v>
      </c>
      <c r="D36" s="4">
        <v>621000</v>
      </c>
      <c r="E36" s="4">
        <v>13381000</v>
      </c>
      <c r="F36" s="4">
        <f t="shared" si="2"/>
        <v>12353700.310000001</v>
      </c>
      <c r="G36" s="4">
        <f t="shared" si="3"/>
        <v>12760000</v>
      </c>
      <c r="H36" s="4">
        <v>13864000</v>
      </c>
      <c r="I36" s="4">
        <v>14204000</v>
      </c>
      <c r="J36" s="4">
        <f>621000+10671000</f>
        <v>11292000</v>
      </c>
    </row>
    <row r="37" spans="1:10" s="5" customFormat="1" ht="15.75" x14ac:dyDescent="0.2">
      <c r="A37" s="3" t="s">
        <v>41</v>
      </c>
      <c r="B37" s="13" t="s">
        <v>42</v>
      </c>
      <c r="C37" s="4">
        <f>C39+C40</f>
        <v>32267642.66</v>
      </c>
      <c r="D37" s="4">
        <f>D39+D40</f>
        <v>37501000</v>
      </c>
      <c r="E37" s="4">
        <f>E39+E40</f>
        <v>31063000</v>
      </c>
      <c r="F37" s="4">
        <f t="shared" si="2"/>
        <v>-1204642.6600000001</v>
      </c>
      <c r="G37" s="4">
        <f t="shared" si="3"/>
        <v>-6438000</v>
      </c>
      <c r="H37" s="4">
        <f>H39+H40</f>
        <v>34107000</v>
      </c>
      <c r="I37" s="4">
        <f>I39+I40</f>
        <v>41716000</v>
      </c>
      <c r="J37" s="4">
        <f>J39+J40</f>
        <v>26189000</v>
      </c>
    </row>
    <row r="38" spans="1:10" s="5" customFormat="1" ht="31.5" outlineLevel="1" x14ac:dyDescent="0.2">
      <c r="A38" s="3" t="s">
        <v>43</v>
      </c>
      <c r="B38" s="13" t="s">
        <v>44</v>
      </c>
      <c r="C38" s="4">
        <f>C39</f>
        <v>18187349.93</v>
      </c>
      <c r="D38" s="4">
        <f>D39</f>
        <v>16431000</v>
      </c>
      <c r="E38" s="4">
        <f>E39</f>
        <v>21305000</v>
      </c>
      <c r="F38" s="4">
        <f t="shared" si="2"/>
        <v>3117650.0700000003</v>
      </c>
      <c r="G38" s="4">
        <f t="shared" si="3"/>
        <v>4874000</v>
      </c>
      <c r="H38" s="4">
        <f>H39</f>
        <v>24349000</v>
      </c>
      <c r="I38" s="4">
        <f>I39</f>
        <v>31958000</v>
      </c>
      <c r="J38" s="4">
        <f>J39</f>
        <v>16431000</v>
      </c>
    </row>
    <row r="39" spans="1:10" ht="65.25" customHeight="1" outlineLevel="1" x14ac:dyDescent="0.2">
      <c r="A39" s="21" t="s">
        <v>45</v>
      </c>
      <c r="B39" s="6" t="s">
        <v>46</v>
      </c>
      <c r="C39" s="7">
        <v>18187349.93</v>
      </c>
      <c r="D39" s="7">
        <v>16431000</v>
      </c>
      <c r="E39" s="7">
        <v>21305000</v>
      </c>
      <c r="F39" s="7">
        <f t="shared" si="2"/>
        <v>3117650.0700000003</v>
      </c>
      <c r="G39" s="7">
        <f t="shared" si="3"/>
        <v>4874000</v>
      </c>
      <c r="H39" s="7">
        <v>24349000</v>
      </c>
      <c r="I39" s="7">
        <v>31958000</v>
      </c>
      <c r="J39" s="7">
        <v>16431000</v>
      </c>
    </row>
    <row r="40" spans="1:10" s="5" customFormat="1" ht="15.75" outlineLevel="1" x14ac:dyDescent="0.2">
      <c r="A40" s="3" t="s">
        <v>47</v>
      </c>
      <c r="B40" s="13" t="s">
        <v>48</v>
      </c>
      <c r="C40" s="4">
        <f>SUM(C41:C42)</f>
        <v>14080292.73</v>
      </c>
      <c r="D40" s="4">
        <f>SUM(D41:D42)</f>
        <v>21070000</v>
      </c>
      <c r="E40" s="4">
        <f>SUM(E41:E42)</f>
        <v>9758000</v>
      </c>
      <c r="F40" s="4">
        <f t="shared" si="2"/>
        <v>-4322292.7300000004</v>
      </c>
      <c r="G40" s="4">
        <f t="shared" si="3"/>
        <v>-11312000</v>
      </c>
      <c r="H40" s="4">
        <f>SUM(H41:H42)</f>
        <v>9758000</v>
      </c>
      <c r="I40" s="4">
        <f>SUM(I41:I42)</f>
        <v>9758000</v>
      </c>
      <c r="J40" s="4">
        <f>SUM(J41:J42)</f>
        <v>9758000</v>
      </c>
    </row>
    <row r="41" spans="1:10" ht="48" customHeight="1" outlineLevel="1" x14ac:dyDescent="0.2">
      <c r="A41" s="21" t="s">
        <v>49</v>
      </c>
      <c r="B41" s="6" t="s">
        <v>50</v>
      </c>
      <c r="C41" s="7">
        <v>8524602.75</v>
      </c>
      <c r="D41" s="7">
        <v>15432000</v>
      </c>
      <c r="E41" s="7">
        <v>6424000</v>
      </c>
      <c r="F41" s="7">
        <f t="shared" si="2"/>
        <v>-2100602.75</v>
      </c>
      <c r="G41" s="7">
        <f t="shared" si="3"/>
        <v>-9008000</v>
      </c>
      <c r="H41" s="7">
        <v>6424000</v>
      </c>
      <c r="I41" s="7">
        <v>6424000</v>
      </c>
      <c r="J41" s="7">
        <f>15432000-9008000</f>
        <v>6424000</v>
      </c>
    </row>
    <row r="42" spans="1:10" ht="48.75" customHeight="1" outlineLevel="1" x14ac:dyDescent="0.2">
      <c r="A42" s="21" t="s">
        <v>51</v>
      </c>
      <c r="B42" s="6" t="s">
        <v>52</v>
      </c>
      <c r="C42" s="7">
        <v>5555689.9800000004</v>
      </c>
      <c r="D42" s="7">
        <v>5638000</v>
      </c>
      <c r="E42" s="7">
        <v>3334000</v>
      </c>
      <c r="F42" s="7">
        <f t="shared" si="2"/>
        <v>-2221689.9800000004</v>
      </c>
      <c r="G42" s="7">
        <f t="shared" si="3"/>
        <v>-2304000</v>
      </c>
      <c r="H42" s="7">
        <v>3334000</v>
      </c>
      <c r="I42" s="7">
        <v>3334000</v>
      </c>
      <c r="J42" s="7">
        <f>5638000-2304000</f>
        <v>3334000</v>
      </c>
    </row>
    <row r="43" spans="1:10" s="5" customFormat="1" ht="15.75" x14ac:dyDescent="0.2">
      <c r="A43" s="3" t="s">
        <v>53</v>
      </c>
      <c r="B43" s="13" t="s">
        <v>54</v>
      </c>
      <c r="C43" s="4">
        <f>SUM(C44:C45)</f>
        <v>7535235.8200000003</v>
      </c>
      <c r="D43" s="4">
        <f>SUM(D44:D45)</f>
        <v>7156000</v>
      </c>
      <c r="E43" s="4">
        <f>SUM(E44:E45)</f>
        <v>7085000</v>
      </c>
      <c r="F43" s="4">
        <f t="shared" si="2"/>
        <v>-450235.8200000003</v>
      </c>
      <c r="G43" s="4">
        <f t="shared" si="3"/>
        <v>-71000</v>
      </c>
      <c r="H43" s="4">
        <f t="shared" ref="H43:I43" si="12">SUM(H44:H45)</f>
        <v>7092000</v>
      </c>
      <c r="I43" s="4">
        <f t="shared" si="12"/>
        <v>7099000</v>
      </c>
      <c r="J43" s="4">
        <f>SUM(J44:J45)</f>
        <v>7156000</v>
      </c>
    </row>
    <row r="44" spans="1:10" ht="63.75" customHeight="1" outlineLevel="1" x14ac:dyDescent="0.2">
      <c r="A44" s="21" t="s">
        <v>55</v>
      </c>
      <c r="B44" s="6" t="s">
        <v>56</v>
      </c>
      <c r="C44" s="7">
        <v>7535235.8200000003</v>
      </c>
      <c r="D44" s="7">
        <v>7056000</v>
      </c>
      <c r="E44" s="7">
        <v>7035000</v>
      </c>
      <c r="F44" s="7">
        <f t="shared" si="2"/>
        <v>-500235.8200000003</v>
      </c>
      <c r="G44" s="7">
        <f t="shared" si="3"/>
        <v>-21000</v>
      </c>
      <c r="H44" s="7">
        <v>7042000</v>
      </c>
      <c r="I44" s="7">
        <v>7049000</v>
      </c>
      <c r="J44" s="7">
        <v>7056000</v>
      </c>
    </row>
    <row r="45" spans="1:10" ht="33.75" customHeight="1" outlineLevel="1" x14ac:dyDescent="0.2">
      <c r="A45" s="21" t="s">
        <v>215</v>
      </c>
      <c r="B45" s="6" t="s">
        <v>216</v>
      </c>
      <c r="C45" s="7"/>
      <c r="D45" s="7">
        <v>100000</v>
      </c>
      <c r="E45" s="7">
        <v>50000</v>
      </c>
      <c r="F45" s="7">
        <f t="shared" si="2"/>
        <v>50000</v>
      </c>
      <c r="G45" s="7">
        <f t="shared" si="3"/>
        <v>-50000</v>
      </c>
      <c r="H45" s="7">
        <v>50000</v>
      </c>
      <c r="I45" s="7">
        <v>50000</v>
      </c>
      <c r="J45" s="7">
        <v>100000</v>
      </c>
    </row>
    <row r="46" spans="1:10" s="5" customFormat="1" ht="33.75" customHeight="1" outlineLevel="1" x14ac:dyDescent="0.2">
      <c r="A46" s="3" t="s">
        <v>249</v>
      </c>
      <c r="B46" s="13" t="s">
        <v>248</v>
      </c>
      <c r="C46" s="4">
        <f>C47</f>
        <v>7.89</v>
      </c>
      <c r="D46" s="4">
        <f t="shared" ref="D46:E46" si="13">D47</f>
        <v>0</v>
      </c>
      <c r="E46" s="4">
        <f t="shared" si="13"/>
        <v>0</v>
      </c>
      <c r="F46" s="4">
        <f t="shared" si="2"/>
        <v>-7.89</v>
      </c>
      <c r="G46" s="7">
        <f t="shared" si="3"/>
        <v>0</v>
      </c>
      <c r="H46" s="4">
        <f t="shared" ref="H46:J46" si="14">H47</f>
        <v>0</v>
      </c>
      <c r="I46" s="4">
        <f t="shared" si="14"/>
        <v>0</v>
      </c>
      <c r="J46" s="4">
        <f t="shared" si="14"/>
        <v>0</v>
      </c>
    </row>
    <row r="47" spans="1:10" ht="33.75" customHeight="1" outlineLevel="1" x14ac:dyDescent="0.2">
      <c r="A47" s="21" t="s">
        <v>251</v>
      </c>
      <c r="B47" s="6" t="s">
        <v>250</v>
      </c>
      <c r="C47" s="7">
        <v>7.89</v>
      </c>
      <c r="D47" s="7"/>
      <c r="E47" s="7"/>
      <c r="F47" s="7">
        <f t="shared" si="2"/>
        <v>-7.89</v>
      </c>
      <c r="G47" s="7">
        <f t="shared" si="3"/>
        <v>0</v>
      </c>
      <c r="H47" s="7"/>
      <c r="I47" s="7"/>
      <c r="J47" s="7"/>
    </row>
    <row r="48" spans="1:10" ht="15.75" x14ac:dyDescent="0.2">
      <c r="A48" s="3"/>
      <c r="B48" s="13" t="s">
        <v>57</v>
      </c>
      <c r="C48" s="4">
        <f>C49+C62+C69+C75+C82+C106</f>
        <v>45972351.199999996</v>
      </c>
      <c r="D48" s="4">
        <f>D49+D62+D69+D75+D82+D106</f>
        <v>37822823.510000005</v>
      </c>
      <c r="E48" s="4">
        <f>E49+E62+E69+E75+E82+E106</f>
        <v>42912256.799999997</v>
      </c>
      <c r="F48" s="4">
        <f t="shared" si="2"/>
        <v>-3060094.3999999985</v>
      </c>
      <c r="G48" s="4">
        <f t="shared" si="3"/>
        <v>5089433.2899999917</v>
      </c>
      <c r="H48" s="4">
        <f>H49+H62+H69+H75+H82+H106</f>
        <v>42244198.799999997</v>
      </c>
      <c r="I48" s="4">
        <f>I49+I62+I69+I75+I82+I106</f>
        <v>42549384.799999997</v>
      </c>
      <c r="J48" s="4">
        <f>J49+J62+J69+J75+J82+J106</f>
        <v>48212575.309999995</v>
      </c>
    </row>
    <row r="49" spans="1:11" ht="63" x14ac:dyDescent="0.2">
      <c r="A49" s="3" t="s">
        <v>58</v>
      </c>
      <c r="B49" s="13" t="s">
        <v>59</v>
      </c>
      <c r="C49" s="4">
        <f>C50+C58+C56</f>
        <v>22794394.239999998</v>
      </c>
      <c r="D49" s="4">
        <f>D50+D58+D56</f>
        <v>22841849</v>
      </c>
      <c r="E49" s="4">
        <f>E50+E58+E56</f>
        <v>26118860</v>
      </c>
      <c r="F49" s="4">
        <f t="shared" si="2"/>
        <v>3324465.7600000016</v>
      </c>
      <c r="G49" s="4">
        <f t="shared" si="3"/>
        <v>3277011</v>
      </c>
      <c r="H49" s="4">
        <f>H50+H58+H56</f>
        <v>26840570</v>
      </c>
      <c r="I49" s="4">
        <f>I50+I58+I56</f>
        <v>27553770</v>
      </c>
      <c r="J49" s="4">
        <f>J50+J58+J56</f>
        <v>23754210</v>
      </c>
    </row>
    <row r="50" spans="1:11" s="5" customFormat="1" ht="112.5" customHeight="1" outlineLevel="1" x14ac:dyDescent="0.2">
      <c r="A50" s="3" t="s">
        <v>60</v>
      </c>
      <c r="B50" s="13" t="s">
        <v>61</v>
      </c>
      <c r="C50" s="22">
        <f>SUM(C51:C55)</f>
        <v>15353566.139999999</v>
      </c>
      <c r="D50" s="22">
        <f t="shared" ref="D50:E50" si="15">SUM(D51:D55)</f>
        <v>15402189</v>
      </c>
      <c r="E50" s="22">
        <f t="shared" si="15"/>
        <v>17864570</v>
      </c>
      <c r="F50" s="22">
        <f t="shared" si="2"/>
        <v>2511003.8600000013</v>
      </c>
      <c r="G50" s="22">
        <f t="shared" si="3"/>
        <v>2462381</v>
      </c>
      <c r="H50" s="22">
        <f t="shared" ref="H50:J50" si="16">SUM(H51:H55)</f>
        <v>18899010</v>
      </c>
      <c r="I50" s="22">
        <f t="shared" si="16"/>
        <v>19633570</v>
      </c>
      <c r="J50" s="22">
        <f t="shared" si="16"/>
        <v>15639090</v>
      </c>
    </row>
    <row r="51" spans="1:11" ht="98.25" customHeight="1" outlineLevel="1" x14ac:dyDescent="0.2">
      <c r="A51" s="21" t="s">
        <v>62</v>
      </c>
      <c r="B51" s="6" t="s">
        <v>63</v>
      </c>
      <c r="C51" s="7">
        <v>6992254.0599999996</v>
      </c>
      <c r="D51" s="7">
        <v>7373290</v>
      </c>
      <c r="E51" s="7">
        <v>8107780</v>
      </c>
      <c r="F51" s="7">
        <f t="shared" si="2"/>
        <v>1115525.9400000004</v>
      </c>
      <c r="G51" s="7">
        <f t="shared" si="3"/>
        <v>734490</v>
      </c>
      <c r="H51" s="7">
        <v>8842220</v>
      </c>
      <c r="I51" s="7">
        <v>9576780</v>
      </c>
      <c r="J51" s="7">
        <v>7373290</v>
      </c>
    </row>
    <row r="52" spans="1:11" ht="100.5" customHeight="1" outlineLevel="1" x14ac:dyDescent="0.2">
      <c r="A52" s="21" t="s">
        <v>64</v>
      </c>
      <c r="B52" s="6" t="s">
        <v>65</v>
      </c>
      <c r="C52" s="7">
        <v>14164.89</v>
      </c>
      <c r="D52" s="7">
        <v>19899</v>
      </c>
      <c r="E52" s="7">
        <v>247790</v>
      </c>
      <c r="F52" s="7">
        <f t="shared" si="2"/>
        <v>233625.11</v>
      </c>
      <c r="G52" s="7">
        <f t="shared" si="3"/>
        <v>227891</v>
      </c>
      <c r="H52" s="7">
        <v>247790</v>
      </c>
      <c r="I52" s="7">
        <v>247790</v>
      </c>
      <c r="J52" s="7">
        <f>19899+237101</f>
        <v>257000</v>
      </c>
    </row>
    <row r="53" spans="1:11" ht="96.75" customHeight="1" outlineLevel="1" x14ac:dyDescent="0.2">
      <c r="A53" s="21" t="s">
        <v>66</v>
      </c>
      <c r="B53" s="6" t="s">
        <v>67</v>
      </c>
      <c r="C53" s="7">
        <v>15114.48</v>
      </c>
      <c r="D53" s="7">
        <v>9000</v>
      </c>
      <c r="E53" s="7">
        <v>9000</v>
      </c>
      <c r="F53" s="7">
        <f t="shared" si="2"/>
        <v>-6114.48</v>
      </c>
      <c r="G53" s="7">
        <f t="shared" si="3"/>
        <v>0</v>
      </c>
      <c r="H53" s="7">
        <v>9000</v>
      </c>
      <c r="I53" s="7">
        <v>9000</v>
      </c>
      <c r="J53" s="7">
        <f>9000-200</f>
        <v>8800</v>
      </c>
    </row>
    <row r="54" spans="1:11" ht="48.75" customHeight="1" outlineLevel="1" x14ac:dyDescent="0.2">
      <c r="A54" s="21" t="s">
        <v>68</v>
      </c>
      <c r="B54" s="6" t="s">
        <v>69</v>
      </c>
      <c r="C54" s="7">
        <v>8330148.3799999999</v>
      </c>
      <c r="D54" s="7">
        <v>8000000</v>
      </c>
      <c r="E54" s="7">
        <v>9500000</v>
      </c>
      <c r="F54" s="7">
        <f t="shared" si="2"/>
        <v>1169851.6200000001</v>
      </c>
      <c r="G54" s="7">
        <f t="shared" si="3"/>
        <v>1500000</v>
      </c>
      <c r="H54" s="7">
        <v>9800000</v>
      </c>
      <c r="I54" s="7">
        <v>9800000</v>
      </c>
      <c r="J54" s="7">
        <v>8000000</v>
      </c>
    </row>
    <row r="55" spans="1:11" ht="48.75" customHeight="1" outlineLevel="1" x14ac:dyDescent="0.2">
      <c r="A55" s="21" t="s">
        <v>239</v>
      </c>
      <c r="B55" s="6" t="s">
        <v>238</v>
      </c>
      <c r="C55" s="7">
        <v>1884.33</v>
      </c>
      <c r="D55" s="7"/>
      <c r="E55" s="7"/>
      <c r="F55" s="7">
        <f t="shared" si="2"/>
        <v>-1884.33</v>
      </c>
      <c r="G55" s="7">
        <f t="shared" si="3"/>
        <v>0</v>
      </c>
      <c r="H55" s="7"/>
      <c r="I55" s="7"/>
      <c r="J55" s="7"/>
    </row>
    <row r="56" spans="1:11" s="5" customFormat="1" ht="34.5" customHeight="1" outlineLevel="1" x14ac:dyDescent="0.2">
      <c r="A56" s="3" t="s">
        <v>70</v>
      </c>
      <c r="B56" s="13" t="s">
        <v>71</v>
      </c>
      <c r="C56" s="4">
        <f>C57</f>
        <v>21600</v>
      </c>
      <c r="D56" s="4">
        <f>D57</f>
        <v>19000</v>
      </c>
      <c r="E56" s="4">
        <f>E57</f>
        <v>12200</v>
      </c>
      <c r="F56" s="4">
        <f t="shared" si="2"/>
        <v>-9400</v>
      </c>
      <c r="G56" s="4">
        <f t="shared" si="3"/>
        <v>-6800</v>
      </c>
      <c r="H56" s="4">
        <f>H57</f>
        <v>17200</v>
      </c>
      <c r="I56" s="4">
        <f>I57</f>
        <v>20200</v>
      </c>
      <c r="J56" s="4">
        <f>J57</f>
        <v>4700</v>
      </c>
    </row>
    <row r="57" spans="1:11" ht="66" customHeight="1" outlineLevel="1" x14ac:dyDescent="0.2">
      <c r="A57" s="21" t="s">
        <v>72</v>
      </c>
      <c r="B57" s="6" t="s">
        <v>73</v>
      </c>
      <c r="C57" s="7">
        <v>21600</v>
      </c>
      <c r="D57" s="7">
        <v>19000</v>
      </c>
      <c r="E57" s="7">
        <v>12200</v>
      </c>
      <c r="F57" s="7">
        <f t="shared" si="2"/>
        <v>-9400</v>
      </c>
      <c r="G57" s="7">
        <f t="shared" si="3"/>
        <v>-6800</v>
      </c>
      <c r="H57" s="7">
        <v>17200</v>
      </c>
      <c r="I57" s="7">
        <v>20200</v>
      </c>
      <c r="J57" s="7">
        <f>19000-14300</f>
        <v>4700</v>
      </c>
    </row>
    <row r="58" spans="1:11" s="5" customFormat="1" ht="108" customHeight="1" outlineLevel="1" x14ac:dyDescent="0.2">
      <c r="A58" s="3" t="s">
        <v>74</v>
      </c>
      <c r="B58" s="13" t="s">
        <v>75</v>
      </c>
      <c r="C58" s="4">
        <f>SUM(C59:C61)</f>
        <v>7419228.0999999996</v>
      </c>
      <c r="D58" s="4">
        <f>SUM(D59:D61)</f>
        <v>7420660</v>
      </c>
      <c r="E58" s="4">
        <f>SUM(E59:E61)</f>
        <v>8242090</v>
      </c>
      <c r="F58" s="4">
        <f t="shared" si="2"/>
        <v>822861.90000000037</v>
      </c>
      <c r="G58" s="4">
        <f t="shared" si="3"/>
        <v>821430</v>
      </c>
      <c r="H58" s="4">
        <f>SUM(H59:H61)</f>
        <v>7924360</v>
      </c>
      <c r="I58" s="4">
        <f>SUM(I59:I61)</f>
        <v>7900000</v>
      </c>
      <c r="J58" s="4">
        <f>SUM(J59:J61)</f>
        <v>8110420</v>
      </c>
    </row>
    <row r="59" spans="1:11" ht="94.5" outlineLevel="1" x14ac:dyDescent="0.2">
      <c r="A59" s="21" t="s">
        <v>76</v>
      </c>
      <c r="B59" s="6" t="s">
        <v>77</v>
      </c>
      <c r="C59" s="7">
        <v>7419228.0999999996</v>
      </c>
      <c r="D59" s="7">
        <v>7420660</v>
      </c>
      <c r="E59" s="7">
        <v>8242090</v>
      </c>
      <c r="F59" s="7">
        <f t="shared" si="2"/>
        <v>822861.90000000037</v>
      </c>
      <c r="G59" s="7">
        <f t="shared" si="3"/>
        <v>821430</v>
      </c>
      <c r="H59" s="7">
        <v>7924360</v>
      </c>
      <c r="I59" s="7">
        <v>7900000</v>
      </c>
      <c r="J59" s="7"/>
    </row>
    <row r="60" spans="1:11" ht="31.5" hidden="1" outlineLevel="1" x14ac:dyDescent="0.2">
      <c r="A60" s="21" t="s">
        <v>272</v>
      </c>
      <c r="B60" s="6" t="s">
        <v>274</v>
      </c>
      <c r="C60" s="7"/>
      <c r="D60" s="7"/>
      <c r="E60" s="7"/>
      <c r="F60" s="7"/>
      <c r="G60" s="7"/>
      <c r="H60" s="7"/>
      <c r="I60" s="7"/>
      <c r="J60" s="7">
        <v>1500000</v>
      </c>
    </row>
    <row r="61" spans="1:11" ht="27.75" hidden="1" customHeight="1" outlineLevel="1" x14ac:dyDescent="0.2">
      <c r="A61" s="21" t="s">
        <v>273</v>
      </c>
      <c r="B61" s="6" t="s">
        <v>275</v>
      </c>
      <c r="C61" s="7"/>
      <c r="D61" s="7"/>
      <c r="E61" s="7"/>
      <c r="F61" s="7"/>
      <c r="G61" s="7"/>
      <c r="H61" s="7"/>
      <c r="I61" s="7"/>
      <c r="J61" s="7">
        <f>5920660+689760</f>
        <v>6610420</v>
      </c>
    </row>
    <row r="62" spans="1:11" s="5" customFormat="1" ht="33.75" customHeight="1" collapsed="1" x14ac:dyDescent="0.2">
      <c r="A62" s="3" t="s">
        <v>78</v>
      </c>
      <c r="B62" s="13" t="s">
        <v>79</v>
      </c>
      <c r="C62" s="4">
        <f>C63</f>
        <v>4046781.3400000003</v>
      </c>
      <c r="D62" s="4">
        <f t="shared" ref="D62:E62" si="17">D63</f>
        <v>2315000</v>
      </c>
      <c r="E62" s="4">
        <f t="shared" si="17"/>
        <v>1260000</v>
      </c>
      <c r="F62" s="4">
        <f t="shared" si="2"/>
        <v>-2786781.3400000003</v>
      </c>
      <c r="G62" s="4">
        <f t="shared" si="3"/>
        <v>-1055000</v>
      </c>
      <c r="H62" s="4">
        <f t="shared" ref="H62:I62" si="18">H63</f>
        <v>1260000</v>
      </c>
      <c r="I62" s="4">
        <f t="shared" si="18"/>
        <v>1260000</v>
      </c>
      <c r="J62" s="4">
        <f>J63+J66</f>
        <v>1260000</v>
      </c>
      <c r="K62" s="34"/>
    </row>
    <row r="63" spans="1:11" s="5" customFormat="1" ht="33.75" customHeight="1" outlineLevel="1" x14ac:dyDescent="0.2">
      <c r="A63" s="3" t="s">
        <v>80</v>
      </c>
      <c r="B63" s="13" t="s">
        <v>81</v>
      </c>
      <c r="C63" s="4">
        <f>C64+C65+C67+C68</f>
        <v>4046781.3400000003</v>
      </c>
      <c r="D63" s="4">
        <f t="shared" ref="D63:E63" si="19">D64+D65+D67+D68</f>
        <v>2315000</v>
      </c>
      <c r="E63" s="4">
        <f t="shared" si="19"/>
        <v>1260000</v>
      </c>
      <c r="F63" s="4">
        <f t="shared" si="2"/>
        <v>-2786781.3400000003</v>
      </c>
      <c r="G63" s="4">
        <f t="shared" si="3"/>
        <v>-1055000</v>
      </c>
      <c r="H63" s="4">
        <f t="shared" ref="H63:I63" si="20">H64+H65+H67+H68</f>
        <v>1260000</v>
      </c>
      <c r="I63" s="4">
        <f t="shared" si="20"/>
        <v>1260000</v>
      </c>
      <c r="J63" s="4">
        <f>SUM(J64:J65)</f>
        <v>550000</v>
      </c>
    </row>
    <row r="64" spans="1:11" ht="33.75" customHeight="1" outlineLevel="1" x14ac:dyDescent="0.2">
      <c r="A64" s="21" t="s">
        <v>82</v>
      </c>
      <c r="B64" s="6" t="s">
        <v>83</v>
      </c>
      <c r="C64" s="7">
        <v>-116097.48</v>
      </c>
      <c r="D64" s="7">
        <v>300000</v>
      </c>
      <c r="E64" s="7">
        <v>50000</v>
      </c>
      <c r="F64" s="7">
        <f t="shared" si="2"/>
        <v>166097.47999999998</v>
      </c>
      <c r="G64" s="7">
        <f t="shared" si="3"/>
        <v>-250000</v>
      </c>
      <c r="H64" s="7">
        <v>50000</v>
      </c>
      <c r="I64" s="7">
        <v>50000</v>
      </c>
      <c r="J64" s="7">
        <f>300000-250000</f>
        <v>50000</v>
      </c>
    </row>
    <row r="65" spans="1:10" ht="33" customHeight="1" outlineLevel="1" x14ac:dyDescent="0.2">
      <c r="A65" s="21" t="s">
        <v>84</v>
      </c>
      <c r="B65" s="6" t="s">
        <v>85</v>
      </c>
      <c r="C65" s="7">
        <v>798766.74</v>
      </c>
      <c r="D65" s="7">
        <v>1700000</v>
      </c>
      <c r="E65" s="7">
        <v>500000</v>
      </c>
      <c r="F65" s="7">
        <f t="shared" si="2"/>
        <v>-298766.74</v>
      </c>
      <c r="G65" s="7">
        <f t="shared" si="3"/>
        <v>-1200000</v>
      </c>
      <c r="H65" s="7">
        <v>500000</v>
      </c>
      <c r="I65" s="7">
        <v>500000</v>
      </c>
      <c r="J65" s="7">
        <f>1700000-1200000</f>
        <v>500000</v>
      </c>
    </row>
    <row r="66" spans="1:10" s="5" customFormat="1" ht="33.75" customHeight="1" outlineLevel="1" x14ac:dyDescent="0.2">
      <c r="A66" s="3" t="s">
        <v>86</v>
      </c>
      <c r="B66" s="13" t="s">
        <v>87</v>
      </c>
      <c r="C66" s="4">
        <f>SUM(C67:C68)</f>
        <v>3364112.08</v>
      </c>
      <c r="D66" s="4">
        <f>SUM(D67:D68)</f>
        <v>315000</v>
      </c>
      <c r="E66" s="4">
        <f>SUM(E67:E68)</f>
        <v>710000</v>
      </c>
      <c r="F66" s="4">
        <f t="shared" si="2"/>
        <v>-2654112.08</v>
      </c>
      <c r="G66" s="4">
        <f t="shared" si="3"/>
        <v>395000</v>
      </c>
      <c r="H66" s="4">
        <f>SUM(H67:H68)</f>
        <v>710000</v>
      </c>
      <c r="I66" s="4">
        <f>SUM(I67:I68)</f>
        <v>710000</v>
      </c>
      <c r="J66" s="4">
        <f>SUM(J67:J68)</f>
        <v>710000</v>
      </c>
    </row>
    <row r="67" spans="1:10" ht="18" customHeight="1" outlineLevel="1" x14ac:dyDescent="0.2">
      <c r="A67" s="21" t="s">
        <v>88</v>
      </c>
      <c r="B67" s="6" t="s">
        <v>89</v>
      </c>
      <c r="C67" s="7">
        <v>3357169.73</v>
      </c>
      <c r="D67" s="7">
        <v>300000</v>
      </c>
      <c r="E67" s="7">
        <v>700000</v>
      </c>
      <c r="F67" s="7">
        <f t="shared" si="2"/>
        <v>-2657169.73</v>
      </c>
      <c r="G67" s="7">
        <f t="shared" si="3"/>
        <v>400000</v>
      </c>
      <c r="H67" s="7">
        <v>700000</v>
      </c>
      <c r="I67" s="7">
        <v>700000</v>
      </c>
      <c r="J67" s="7">
        <f>300000+400000</f>
        <v>700000</v>
      </c>
    </row>
    <row r="68" spans="1:10" ht="35.25" customHeight="1" outlineLevel="1" x14ac:dyDescent="0.2">
      <c r="A68" s="21" t="s">
        <v>90</v>
      </c>
      <c r="B68" s="6" t="s">
        <v>91</v>
      </c>
      <c r="C68" s="7">
        <v>6942.35</v>
      </c>
      <c r="D68" s="7">
        <v>15000</v>
      </c>
      <c r="E68" s="7">
        <v>10000</v>
      </c>
      <c r="F68" s="7">
        <f t="shared" si="2"/>
        <v>3057.6499999999996</v>
      </c>
      <c r="G68" s="7">
        <f t="shared" si="3"/>
        <v>-5000</v>
      </c>
      <c r="H68" s="7">
        <v>10000</v>
      </c>
      <c r="I68" s="7">
        <v>10000</v>
      </c>
      <c r="J68" s="7">
        <f>15000-5000</f>
        <v>10000</v>
      </c>
    </row>
    <row r="69" spans="1:10" s="5" customFormat="1" ht="30" customHeight="1" x14ac:dyDescent="0.2">
      <c r="A69" s="3" t="s">
        <v>92</v>
      </c>
      <c r="B69" s="13" t="s">
        <v>93</v>
      </c>
      <c r="C69" s="4">
        <f>C70+C72</f>
        <v>1557616.55</v>
      </c>
      <c r="D69" s="4">
        <f>D70+D72</f>
        <v>598961.51</v>
      </c>
      <c r="E69" s="4">
        <f>E70+E72</f>
        <v>284900</v>
      </c>
      <c r="F69" s="4">
        <f t="shared" si="2"/>
        <v>-1272716.55</v>
      </c>
      <c r="G69" s="4">
        <f t="shared" si="3"/>
        <v>-314061.51</v>
      </c>
      <c r="H69" s="4">
        <f>H70+H72</f>
        <v>269500</v>
      </c>
      <c r="I69" s="4">
        <f>I70+I72</f>
        <v>231000</v>
      </c>
      <c r="J69" s="4">
        <f>J70+J72</f>
        <v>4202912.91</v>
      </c>
    </row>
    <row r="70" spans="1:10" s="5" customFormat="1" ht="18" customHeight="1" outlineLevel="1" x14ac:dyDescent="0.2">
      <c r="A70" s="3" t="s">
        <v>94</v>
      </c>
      <c r="B70" s="13" t="s">
        <v>95</v>
      </c>
      <c r="C70" s="4">
        <f>C71</f>
        <v>375205.56</v>
      </c>
      <c r="D70" s="4">
        <f>D71</f>
        <v>527161.51</v>
      </c>
      <c r="E70" s="4">
        <f>E71</f>
        <v>284900</v>
      </c>
      <c r="F70" s="4">
        <f t="shared" si="2"/>
        <v>-90305.56</v>
      </c>
      <c r="G70" s="4">
        <f t="shared" si="3"/>
        <v>-242261.51</v>
      </c>
      <c r="H70" s="4">
        <f>H71</f>
        <v>269500</v>
      </c>
      <c r="I70" s="4">
        <f>I71</f>
        <v>231000</v>
      </c>
      <c r="J70" s="4">
        <f>J71</f>
        <v>527161.51</v>
      </c>
    </row>
    <row r="71" spans="1:10" ht="46.5" customHeight="1" outlineLevel="1" x14ac:dyDescent="0.2">
      <c r="A71" s="21" t="s">
        <v>96</v>
      </c>
      <c r="B71" s="6" t="s">
        <v>97</v>
      </c>
      <c r="C71" s="7">
        <v>375205.56</v>
      </c>
      <c r="D71" s="7">
        <v>527161.51</v>
      </c>
      <c r="E71" s="7">
        <v>284900</v>
      </c>
      <c r="F71" s="7">
        <f t="shared" si="2"/>
        <v>-90305.56</v>
      </c>
      <c r="G71" s="7">
        <f t="shared" si="3"/>
        <v>-242261.51</v>
      </c>
      <c r="H71" s="7">
        <v>269500</v>
      </c>
      <c r="I71" s="7">
        <v>231000</v>
      </c>
      <c r="J71" s="7">
        <v>527161.51</v>
      </c>
    </row>
    <row r="72" spans="1:10" s="5" customFormat="1" ht="18" customHeight="1" outlineLevel="1" x14ac:dyDescent="0.2">
      <c r="A72" s="3" t="s">
        <v>98</v>
      </c>
      <c r="B72" s="13" t="s">
        <v>99</v>
      </c>
      <c r="C72" s="4">
        <f>SUM(C73:C74)</f>
        <v>1182410.99</v>
      </c>
      <c r="D72" s="4">
        <f t="shared" ref="D72:E72" si="21">SUM(D73:D74)</f>
        <v>71800</v>
      </c>
      <c r="E72" s="4">
        <f t="shared" si="21"/>
        <v>0</v>
      </c>
      <c r="F72" s="4">
        <f t="shared" si="2"/>
        <v>-1182410.99</v>
      </c>
      <c r="G72" s="4">
        <f t="shared" si="3"/>
        <v>-71800</v>
      </c>
      <c r="H72" s="4">
        <f t="shared" ref="H72:J72" si="22">SUM(H73:H74)</f>
        <v>0</v>
      </c>
      <c r="I72" s="4">
        <f t="shared" si="22"/>
        <v>0</v>
      </c>
      <c r="J72" s="4">
        <f t="shared" si="22"/>
        <v>3675751.4</v>
      </c>
    </row>
    <row r="73" spans="1:10" ht="50.25" hidden="1" customHeight="1" outlineLevel="1" x14ac:dyDescent="0.2">
      <c r="A73" s="21" t="s">
        <v>195</v>
      </c>
      <c r="B73" s="6" t="s">
        <v>196</v>
      </c>
      <c r="C73" s="7"/>
      <c r="D73" s="7"/>
      <c r="E73" s="7"/>
      <c r="F73" s="7">
        <f t="shared" si="2"/>
        <v>0</v>
      </c>
      <c r="G73" s="7">
        <f t="shared" si="3"/>
        <v>0</v>
      </c>
      <c r="H73" s="7"/>
      <c r="I73" s="7"/>
      <c r="J73" s="7"/>
    </row>
    <row r="74" spans="1:10" ht="35.25" customHeight="1" outlineLevel="1" x14ac:dyDescent="0.2">
      <c r="A74" s="21" t="s">
        <v>100</v>
      </c>
      <c r="B74" s="6" t="s">
        <v>101</v>
      </c>
      <c r="C74" s="7">
        <v>1182410.99</v>
      </c>
      <c r="D74" s="7">
        <v>71800</v>
      </c>
      <c r="E74" s="7"/>
      <c r="F74" s="7">
        <f t="shared" si="2"/>
        <v>-1182410.99</v>
      </c>
      <c r="G74" s="7">
        <f t="shared" si="3"/>
        <v>-71800</v>
      </c>
      <c r="H74" s="7"/>
      <c r="I74" s="7"/>
      <c r="J74" s="7">
        <f>71800+3603951.4</f>
        <v>3675751.4</v>
      </c>
    </row>
    <row r="75" spans="1:10" s="5" customFormat="1" ht="31.5" x14ac:dyDescent="0.2">
      <c r="A75" s="3" t="s">
        <v>102</v>
      </c>
      <c r="B75" s="13" t="s">
        <v>103</v>
      </c>
      <c r="C75" s="4">
        <f>C76+C78+C77</f>
        <v>8568108.2699999996</v>
      </c>
      <c r="D75" s="4">
        <f>D76+D78+D77</f>
        <v>8184510</v>
      </c>
      <c r="E75" s="4">
        <f>E76+E78+E77</f>
        <v>8007470</v>
      </c>
      <c r="F75" s="4">
        <f t="shared" si="2"/>
        <v>-560638.26999999955</v>
      </c>
      <c r="G75" s="4">
        <f t="shared" si="3"/>
        <v>-177040</v>
      </c>
      <c r="H75" s="4">
        <f>H76+H78+H77</f>
        <v>6671610</v>
      </c>
      <c r="I75" s="4">
        <f>I76+I78+I77</f>
        <v>6190040</v>
      </c>
      <c r="J75" s="4">
        <f>J76+J78+J77</f>
        <v>8098554</v>
      </c>
    </row>
    <row r="76" spans="1:10" ht="126" outlineLevel="1" x14ac:dyDescent="0.2">
      <c r="A76" s="21" t="s">
        <v>104</v>
      </c>
      <c r="B76" s="6" t="s">
        <v>105</v>
      </c>
      <c r="C76" s="7">
        <f>3979166.95</f>
        <v>3979166.95</v>
      </c>
      <c r="D76" s="7">
        <v>3500000</v>
      </c>
      <c r="E76" s="7">
        <v>5500000</v>
      </c>
      <c r="F76" s="7">
        <f t="shared" si="2"/>
        <v>1520833.0499999998</v>
      </c>
      <c r="G76" s="7">
        <f t="shared" si="3"/>
        <v>2000000</v>
      </c>
      <c r="H76" s="7">
        <v>5000000</v>
      </c>
      <c r="I76" s="7">
        <v>4500000</v>
      </c>
      <c r="J76" s="7">
        <f>3500000+2500000</f>
        <v>6000000</v>
      </c>
    </row>
    <row r="77" spans="1:10" ht="53.25" customHeight="1" outlineLevel="1" x14ac:dyDescent="0.2">
      <c r="A77" s="21" t="s">
        <v>264</v>
      </c>
      <c r="B77" s="6" t="s">
        <v>265</v>
      </c>
      <c r="C77" s="7">
        <v>45240</v>
      </c>
      <c r="D77" s="7"/>
      <c r="E77" s="7"/>
      <c r="F77" s="7"/>
      <c r="G77" s="7"/>
      <c r="H77" s="7"/>
      <c r="I77" s="7"/>
      <c r="J77" s="7">
        <v>261504</v>
      </c>
    </row>
    <row r="78" spans="1:10" s="5" customFormat="1" ht="47.25" outlineLevel="1" x14ac:dyDescent="0.2">
      <c r="A78" s="3" t="s">
        <v>106</v>
      </c>
      <c r="B78" s="13" t="s">
        <v>107</v>
      </c>
      <c r="C78" s="4">
        <f>SUM(C79:C81)</f>
        <v>4543701.32</v>
      </c>
      <c r="D78" s="4">
        <f>SUM(D79:D81)</f>
        <v>4684510</v>
      </c>
      <c r="E78" s="4">
        <f>SUM(E79:E81)</f>
        <v>2507470</v>
      </c>
      <c r="F78" s="4">
        <f t="shared" si="2"/>
        <v>-2036231.3200000003</v>
      </c>
      <c r="G78" s="4">
        <f t="shared" si="3"/>
        <v>-2177040</v>
      </c>
      <c r="H78" s="4">
        <f>SUM(H79:H81)</f>
        <v>1671610</v>
      </c>
      <c r="I78" s="4">
        <f>SUM(I79:I81)</f>
        <v>1690040</v>
      </c>
      <c r="J78" s="4">
        <f>SUM(J79:J81)</f>
        <v>1837050</v>
      </c>
    </row>
    <row r="79" spans="1:10" ht="64.5" customHeight="1" outlineLevel="1" x14ac:dyDescent="0.2">
      <c r="A79" s="21" t="s">
        <v>108</v>
      </c>
      <c r="B79" s="6" t="s">
        <v>109</v>
      </c>
      <c r="C79" s="7">
        <v>3747633.39</v>
      </c>
      <c r="D79" s="7">
        <v>4177460</v>
      </c>
      <c r="E79" s="7">
        <v>1800000</v>
      </c>
      <c r="F79" s="7">
        <f t="shared" si="2"/>
        <v>-1947633.3900000001</v>
      </c>
      <c r="G79" s="7">
        <f t="shared" si="3"/>
        <v>-2377460</v>
      </c>
      <c r="H79" s="7">
        <v>1000000</v>
      </c>
      <c r="I79" s="7">
        <v>1000000</v>
      </c>
      <c r="J79" s="7">
        <f>4177460-3377460</f>
        <v>800000</v>
      </c>
    </row>
    <row r="80" spans="1:10" ht="79.5" customHeight="1" outlineLevel="1" x14ac:dyDescent="0.2">
      <c r="A80" s="21" t="s">
        <v>110</v>
      </c>
      <c r="B80" s="6" t="s">
        <v>111</v>
      </c>
      <c r="C80" s="7">
        <v>363757.67</v>
      </c>
      <c r="D80" s="7"/>
      <c r="E80" s="7">
        <v>184000</v>
      </c>
      <c r="F80" s="7">
        <f t="shared" si="2"/>
        <v>-179757.66999999998</v>
      </c>
      <c r="G80" s="7">
        <f t="shared" si="3"/>
        <v>184000</v>
      </c>
      <c r="H80" s="7">
        <v>184000</v>
      </c>
      <c r="I80" s="7">
        <v>184000</v>
      </c>
      <c r="J80" s="7">
        <v>530000</v>
      </c>
    </row>
    <row r="81" spans="1:10" ht="109.5" customHeight="1" outlineLevel="1" x14ac:dyDescent="0.2">
      <c r="A81" s="21" t="s">
        <v>112</v>
      </c>
      <c r="B81" s="6" t="s">
        <v>113</v>
      </c>
      <c r="C81" s="7">
        <v>432310.26</v>
      </c>
      <c r="D81" s="7">
        <v>507050</v>
      </c>
      <c r="E81" s="7">
        <v>523470</v>
      </c>
      <c r="F81" s="7">
        <f t="shared" si="2"/>
        <v>91159.739999999991</v>
      </c>
      <c r="G81" s="7">
        <f t="shared" si="3"/>
        <v>16420</v>
      </c>
      <c r="H81" s="7">
        <v>487610</v>
      </c>
      <c r="I81" s="7">
        <v>506040</v>
      </c>
      <c r="J81" s="7">
        <v>507050</v>
      </c>
    </row>
    <row r="82" spans="1:10" s="5" customFormat="1" ht="34.5" customHeight="1" x14ac:dyDescent="0.2">
      <c r="A82" s="3" t="s">
        <v>114</v>
      </c>
      <c r="B82" s="13" t="s">
        <v>115</v>
      </c>
      <c r="C82" s="4">
        <f>C83+C95+C97+C100+C104</f>
        <v>7446815.9299999997</v>
      </c>
      <c r="D82" s="4">
        <f t="shared" ref="D82:E82" si="23">D83+D95+D97+D100+D104</f>
        <v>2122393</v>
      </c>
      <c r="E82" s="4">
        <f t="shared" si="23"/>
        <v>2725246.8</v>
      </c>
      <c r="F82" s="4">
        <f t="shared" si="2"/>
        <v>-4721569.13</v>
      </c>
      <c r="G82" s="4">
        <f t="shared" si="3"/>
        <v>602853.79999999981</v>
      </c>
      <c r="H82" s="4">
        <f t="shared" ref="H82:J82" si="24">H83+H95+H97+H100+H104</f>
        <v>2612238.7999999998</v>
      </c>
      <c r="I82" s="4">
        <f t="shared" si="24"/>
        <v>2613734.7999999998</v>
      </c>
      <c r="J82" s="4">
        <f t="shared" si="24"/>
        <v>4640688.4000000004</v>
      </c>
    </row>
    <row r="83" spans="1:10" s="5" customFormat="1" ht="47.25" outlineLevel="1" x14ac:dyDescent="0.2">
      <c r="A83" s="3" t="s">
        <v>116</v>
      </c>
      <c r="B83" s="13" t="s">
        <v>117</v>
      </c>
      <c r="C83" s="4">
        <f>SUM(C84:C94)</f>
        <v>309263.17</v>
      </c>
      <c r="D83" s="4">
        <f>SUM(D84:D94)</f>
        <v>365911</v>
      </c>
      <c r="E83" s="4">
        <f>SUM(E84:E94)</f>
        <v>1308340.8</v>
      </c>
      <c r="F83" s="4">
        <f t="shared" si="2"/>
        <v>999077.63000000012</v>
      </c>
      <c r="G83" s="4">
        <f t="shared" si="3"/>
        <v>942429.8</v>
      </c>
      <c r="H83" s="4">
        <f>SUM(H84:H94)</f>
        <v>1308340.8</v>
      </c>
      <c r="I83" s="4">
        <f>SUM(I84:I94)</f>
        <v>1308340.8</v>
      </c>
      <c r="J83" s="4">
        <f>SUM(J84:J94)</f>
        <v>1634075.4</v>
      </c>
    </row>
    <row r="84" spans="1:10" ht="111.75" customHeight="1" outlineLevel="1" x14ac:dyDescent="0.2">
      <c r="A84" s="21" t="s">
        <v>118</v>
      </c>
      <c r="B84" s="6" t="s">
        <v>119</v>
      </c>
      <c r="C84" s="7">
        <v>1088.17</v>
      </c>
      <c r="D84" s="7">
        <v>811</v>
      </c>
      <c r="E84" s="7">
        <v>6117.6</v>
      </c>
      <c r="F84" s="7">
        <f t="shared" si="2"/>
        <v>5029.43</v>
      </c>
      <c r="G84" s="7">
        <f t="shared" si="3"/>
        <v>5306.6</v>
      </c>
      <c r="H84" s="7">
        <v>6117.6</v>
      </c>
      <c r="I84" s="7">
        <v>6117.6</v>
      </c>
      <c r="J84" s="7">
        <f>811+10500</f>
        <v>11311</v>
      </c>
    </row>
    <row r="85" spans="1:10" ht="144.75" customHeight="1" outlineLevel="1" x14ac:dyDescent="0.2">
      <c r="A85" s="21" t="s">
        <v>120</v>
      </c>
      <c r="B85" s="6" t="s">
        <v>121</v>
      </c>
      <c r="C85" s="7">
        <v>59500</v>
      </c>
      <c r="D85" s="7">
        <v>24600</v>
      </c>
      <c r="E85" s="7">
        <v>131973.6</v>
      </c>
      <c r="F85" s="7">
        <f t="shared" si="2"/>
        <v>72473.600000000006</v>
      </c>
      <c r="G85" s="7">
        <f t="shared" si="3"/>
        <v>107373.6</v>
      </c>
      <c r="H85" s="7">
        <v>131973.6</v>
      </c>
      <c r="I85" s="7">
        <v>131973.6</v>
      </c>
      <c r="J85" s="7">
        <f>24600+107373</f>
        <v>131973</v>
      </c>
    </row>
    <row r="86" spans="1:10" ht="109.5" customHeight="1" outlineLevel="1" x14ac:dyDescent="0.2">
      <c r="A86" s="21" t="s">
        <v>122</v>
      </c>
      <c r="B86" s="6" t="s">
        <v>123</v>
      </c>
      <c r="C86" s="7">
        <v>1950</v>
      </c>
      <c r="D86" s="7">
        <v>480</v>
      </c>
      <c r="E86" s="7">
        <v>477.6</v>
      </c>
      <c r="F86" s="7">
        <f t="shared" si="2"/>
        <v>-1472.4</v>
      </c>
      <c r="G86" s="7">
        <f t="shared" si="3"/>
        <v>-2.3999999999999773</v>
      </c>
      <c r="H86" s="7">
        <v>477.6</v>
      </c>
      <c r="I86" s="7">
        <v>477.6</v>
      </c>
      <c r="J86" s="7">
        <f>480+2000</f>
        <v>2480</v>
      </c>
    </row>
    <row r="87" spans="1:10" ht="111.75" customHeight="1" outlineLevel="1" x14ac:dyDescent="0.2">
      <c r="A87" s="21" t="s">
        <v>219</v>
      </c>
      <c r="B87" s="6" t="s">
        <v>220</v>
      </c>
      <c r="C87" s="7">
        <v>16500</v>
      </c>
      <c r="D87" s="7"/>
      <c r="E87" s="7">
        <v>156331.20000000001</v>
      </c>
      <c r="F87" s="7">
        <f t="shared" ref="F87:F89" si="25">E87-C87</f>
        <v>139831.20000000001</v>
      </c>
      <c r="G87" s="7">
        <f t="shared" ref="G87:G89" si="26">E87-D87</f>
        <v>156331.20000000001</v>
      </c>
      <c r="H87" s="7">
        <v>156331.20000000001</v>
      </c>
      <c r="I87" s="7">
        <v>156331.20000000001</v>
      </c>
      <c r="J87" s="7">
        <v>472500</v>
      </c>
    </row>
    <row r="88" spans="1:10" ht="111.75" customHeight="1" outlineLevel="1" x14ac:dyDescent="0.2">
      <c r="A88" s="21" t="s">
        <v>262</v>
      </c>
      <c r="B88" s="6" t="s">
        <v>260</v>
      </c>
      <c r="C88" s="7"/>
      <c r="D88" s="7"/>
      <c r="E88" s="7">
        <v>2400</v>
      </c>
      <c r="F88" s="7">
        <f t="shared" si="25"/>
        <v>2400</v>
      </c>
      <c r="G88" s="7">
        <f t="shared" si="26"/>
        <v>2400</v>
      </c>
      <c r="H88" s="7">
        <v>2400</v>
      </c>
      <c r="I88" s="7">
        <v>2400</v>
      </c>
      <c r="J88" s="7">
        <v>2400</v>
      </c>
    </row>
    <row r="89" spans="1:10" ht="111.75" customHeight="1" outlineLevel="1" x14ac:dyDescent="0.2">
      <c r="A89" s="21" t="s">
        <v>263</v>
      </c>
      <c r="B89" s="6" t="s">
        <v>261</v>
      </c>
      <c r="C89" s="7"/>
      <c r="D89" s="7"/>
      <c r="E89" s="7">
        <v>32911.199999999997</v>
      </c>
      <c r="F89" s="7">
        <f t="shared" si="25"/>
        <v>32911.199999999997</v>
      </c>
      <c r="G89" s="7">
        <f t="shared" si="26"/>
        <v>32911.199999999997</v>
      </c>
      <c r="H89" s="7">
        <v>32911.199999999997</v>
      </c>
      <c r="I89" s="7">
        <v>32911.199999999997</v>
      </c>
      <c r="J89" s="7">
        <v>32911</v>
      </c>
    </row>
    <row r="90" spans="1:10" ht="130.5" customHeight="1" outlineLevel="1" x14ac:dyDescent="0.2">
      <c r="A90" s="21" t="s">
        <v>124</v>
      </c>
      <c r="B90" s="6" t="s">
        <v>125</v>
      </c>
      <c r="C90" s="7">
        <v>40275</v>
      </c>
      <c r="D90" s="7">
        <v>56460</v>
      </c>
      <c r="E90" s="7">
        <v>170580</v>
      </c>
      <c r="F90" s="7">
        <f t="shared" si="2"/>
        <v>130305</v>
      </c>
      <c r="G90" s="7">
        <f t="shared" si="3"/>
        <v>114120</v>
      </c>
      <c r="H90" s="7">
        <v>170580</v>
      </c>
      <c r="I90" s="7">
        <v>170580</v>
      </c>
      <c r="J90" s="7">
        <f>56460+114120</f>
        <v>170580</v>
      </c>
    </row>
    <row r="91" spans="1:10" ht="163.5" customHeight="1" outlineLevel="1" x14ac:dyDescent="0.2">
      <c r="A91" s="21" t="s">
        <v>126</v>
      </c>
      <c r="B91" s="6" t="s">
        <v>127</v>
      </c>
      <c r="C91" s="7">
        <v>900</v>
      </c>
      <c r="D91" s="7">
        <v>1080</v>
      </c>
      <c r="E91" s="7">
        <v>11930.4</v>
      </c>
      <c r="F91" s="7">
        <f t="shared" ref="F91:F146" si="27">E91-C91</f>
        <v>11030.4</v>
      </c>
      <c r="G91" s="7">
        <f t="shared" ref="G91:G146" si="28">E91-D91</f>
        <v>10850.4</v>
      </c>
      <c r="H91" s="7">
        <v>11930.4</v>
      </c>
      <c r="I91" s="7">
        <v>11930.4</v>
      </c>
      <c r="J91" s="7">
        <f>1080+10850</f>
        <v>11930</v>
      </c>
    </row>
    <row r="92" spans="1:10" ht="109.5" customHeight="1" outlineLevel="1" x14ac:dyDescent="0.2">
      <c r="A92" s="21" t="s">
        <v>128</v>
      </c>
      <c r="B92" s="6" t="s">
        <v>129</v>
      </c>
      <c r="C92" s="7">
        <v>1000</v>
      </c>
      <c r="D92" s="7">
        <v>2400</v>
      </c>
      <c r="E92" s="7">
        <v>1836</v>
      </c>
      <c r="F92" s="7">
        <f t="shared" si="27"/>
        <v>836</v>
      </c>
      <c r="G92" s="7">
        <f t="shared" si="28"/>
        <v>-564</v>
      </c>
      <c r="H92" s="7">
        <v>1836</v>
      </c>
      <c r="I92" s="7">
        <v>1836</v>
      </c>
      <c r="J92" s="7">
        <f>2400-1596</f>
        <v>804</v>
      </c>
    </row>
    <row r="93" spans="1:10" ht="113.25" customHeight="1" outlineLevel="1" x14ac:dyDescent="0.2">
      <c r="A93" s="21" t="s">
        <v>130</v>
      </c>
      <c r="B93" s="6" t="s">
        <v>131</v>
      </c>
      <c r="C93" s="7">
        <v>51150</v>
      </c>
      <c r="D93" s="7">
        <v>228000</v>
      </c>
      <c r="E93" s="7">
        <v>355106.4</v>
      </c>
      <c r="F93" s="7">
        <f t="shared" si="27"/>
        <v>303956.40000000002</v>
      </c>
      <c r="G93" s="7">
        <f t="shared" si="28"/>
        <v>127106.40000000002</v>
      </c>
      <c r="H93" s="7">
        <v>355106.4</v>
      </c>
      <c r="I93" s="7">
        <v>355106.4</v>
      </c>
      <c r="J93" s="7">
        <f>228000+127106.4</f>
        <v>355106.4</v>
      </c>
    </row>
    <row r="94" spans="1:10" ht="126" customHeight="1" outlineLevel="1" x14ac:dyDescent="0.2">
      <c r="A94" s="21" t="s">
        <v>132</v>
      </c>
      <c r="B94" s="6" t="s">
        <v>133</v>
      </c>
      <c r="C94" s="7">
        <v>136900</v>
      </c>
      <c r="D94" s="7">
        <v>52080</v>
      </c>
      <c r="E94" s="7">
        <v>438676.8</v>
      </c>
      <c r="F94" s="7">
        <f t="shared" si="27"/>
        <v>301776.8</v>
      </c>
      <c r="G94" s="7">
        <f t="shared" si="28"/>
        <v>386596.8</v>
      </c>
      <c r="H94" s="7">
        <v>438676.8</v>
      </c>
      <c r="I94" s="7">
        <v>438676.8</v>
      </c>
      <c r="J94" s="7">
        <f>52080+390000</f>
        <v>442080</v>
      </c>
    </row>
    <row r="95" spans="1:10" s="5" customFormat="1" ht="47.25" outlineLevel="1" x14ac:dyDescent="0.2">
      <c r="A95" s="3" t="s">
        <v>134</v>
      </c>
      <c r="B95" s="13" t="s">
        <v>135</v>
      </c>
      <c r="C95" s="4">
        <f>C96</f>
        <v>80000</v>
      </c>
      <c r="D95" s="4">
        <f>D96</f>
        <v>228800</v>
      </c>
      <c r="E95" s="4">
        <f>E96</f>
        <v>0</v>
      </c>
      <c r="F95" s="4">
        <f t="shared" si="27"/>
        <v>-80000</v>
      </c>
      <c r="G95" s="4">
        <f t="shared" si="28"/>
        <v>-228800</v>
      </c>
      <c r="H95" s="4">
        <f>H96</f>
        <v>0</v>
      </c>
      <c r="I95" s="4">
        <f>I96</f>
        <v>0</v>
      </c>
      <c r="J95" s="4">
        <f>J96</f>
        <v>222660</v>
      </c>
    </row>
    <row r="96" spans="1:10" ht="65.25" customHeight="1" outlineLevel="1" x14ac:dyDescent="0.2">
      <c r="A96" s="21" t="s">
        <v>136</v>
      </c>
      <c r="B96" s="6" t="s">
        <v>137</v>
      </c>
      <c r="C96" s="7">
        <v>80000</v>
      </c>
      <c r="D96" s="7">
        <v>228800</v>
      </c>
      <c r="E96" s="7"/>
      <c r="F96" s="7">
        <f t="shared" si="27"/>
        <v>-80000</v>
      </c>
      <c r="G96" s="7">
        <f t="shared" si="28"/>
        <v>-228800</v>
      </c>
      <c r="H96" s="7"/>
      <c r="I96" s="7"/>
      <c r="J96" s="7">
        <f>228800-6140</f>
        <v>222660</v>
      </c>
    </row>
    <row r="97" spans="1:10" s="5" customFormat="1" ht="143.25" customHeight="1" outlineLevel="1" x14ac:dyDescent="0.2">
      <c r="A97" s="3" t="s">
        <v>223</v>
      </c>
      <c r="B97" s="13" t="s">
        <v>138</v>
      </c>
      <c r="C97" s="4">
        <f>SUM(C98:C99)</f>
        <v>1423349.19</v>
      </c>
      <c r="D97" s="4">
        <f>SUM(D98:D99)</f>
        <v>531582</v>
      </c>
      <c r="E97" s="4">
        <f>SUM(E98:E99)</f>
        <v>522900</v>
      </c>
      <c r="F97" s="4">
        <f t="shared" si="27"/>
        <v>-900449.19</v>
      </c>
      <c r="G97" s="4">
        <f t="shared" si="28"/>
        <v>-8682</v>
      </c>
      <c r="H97" s="4">
        <f>SUM(H98:H99)</f>
        <v>522900</v>
      </c>
      <c r="I97" s="4">
        <f>SUM(I98:I99)</f>
        <v>522900</v>
      </c>
      <c r="J97" s="4">
        <f>SUM(J98:J99)</f>
        <v>646582</v>
      </c>
    </row>
    <row r="98" spans="1:10" ht="99" customHeight="1" outlineLevel="1" x14ac:dyDescent="0.2">
      <c r="A98" s="21" t="s">
        <v>139</v>
      </c>
      <c r="B98" s="6" t="s">
        <v>140</v>
      </c>
      <c r="C98" s="7">
        <v>543036.54</v>
      </c>
      <c r="D98" s="7">
        <v>8682</v>
      </c>
      <c r="E98" s="7"/>
      <c r="F98" s="7">
        <f t="shared" si="27"/>
        <v>-543036.54</v>
      </c>
      <c r="G98" s="7">
        <f t="shared" si="28"/>
        <v>-8682</v>
      </c>
      <c r="H98" s="7"/>
      <c r="I98" s="7"/>
      <c r="J98" s="7">
        <f>8682+115000</f>
        <v>123682</v>
      </c>
    </row>
    <row r="99" spans="1:10" ht="99" customHeight="1" outlineLevel="1" x14ac:dyDescent="0.2">
      <c r="A99" s="21" t="s">
        <v>141</v>
      </c>
      <c r="B99" s="6" t="s">
        <v>142</v>
      </c>
      <c r="C99" s="7">
        <v>880312.65</v>
      </c>
      <c r="D99" s="7">
        <v>522900</v>
      </c>
      <c r="E99" s="7">
        <v>522900</v>
      </c>
      <c r="F99" s="7">
        <f t="shared" si="27"/>
        <v>-357412.65</v>
      </c>
      <c r="G99" s="7">
        <f t="shared" si="28"/>
        <v>0</v>
      </c>
      <c r="H99" s="7">
        <v>522900</v>
      </c>
      <c r="I99" s="7">
        <v>522900</v>
      </c>
      <c r="J99" s="7">
        <v>522900</v>
      </c>
    </row>
    <row r="100" spans="1:10" s="5" customFormat="1" ht="34.5" customHeight="1" outlineLevel="1" x14ac:dyDescent="0.2">
      <c r="A100" s="3" t="s">
        <v>143</v>
      </c>
      <c r="B100" s="13" t="s">
        <v>144</v>
      </c>
      <c r="C100" s="4">
        <f>SUM(C101:C103)</f>
        <v>5631203.5699999994</v>
      </c>
      <c r="D100" s="4">
        <f t="shared" ref="D100:E100" si="29">SUM(D101:D103)</f>
        <v>996100</v>
      </c>
      <c r="E100" s="4">
        <f t="shared" si="29"/>
        <v>894006</v>
      </c>
      <c r="F100" s="4">
        <f t="shared" si="27"/>
        <v>-4737197.5699999994</v>
      </c>
      <c r="G100" s="4">
        <f t="shared" si="28"/>
        <v>-102094</v>
      </c>
      <c r="H100" s="4">
        <f t="shared" ref="H100:I100" si="30">SUM(H101:H105)</f>
        <v>780998</v>
      </c>
      <c r="I100" s="4">
        <f t="shared" si="30"/>
        <v>782494</v>
      </c>
      <c r="J100" s="4">
        <f t="shared" ref="J100" si="31">SUM(J101:J103)</f>
        <v>1471211</v>
      </c>
    </row>
    <row r="101" spans="1:10" s="5" customFormat="1" ht="63" outlineLevel="1" x14ac:dyDescent="0.2">
      <c r="A101" s="6" t="s">
        <v>240</v>
      </c>
      <c r="B101" s="6" t="s">
        <v>241</v>
      </c>
      <c r="C101" s="7">
        <v>16842.14</v>
      </c>
      <c r="D101" s="7">
        <v>111700</v>
      </c>
      <c r="E101" s="7">
        <v>111700</v>
      </c>
      <c r="F101" s="7">
        <f t="shared" si="27"/>
        <v>94857.86</v>
      </c>
      <c r="G101" s="7">
        <f t="shared" si="28"/>
        <v>0</v>
      </c>
      <c r="H101" s="7"/>
      <c r="I101" s="7"/>
      <c r="J101" s="7">
        <f>111700-33439</f>
        <v>78261</v>
      </c>
    </row>
    <row r="102" spans="1:10" ht="99" customHeight="1" outlineLevel="1" x14ac:dyDescent="0.2">
      <c r="A102" s="21" t="s">
        <v>145</v>
      </c>
      <c r="B102" s="6" t="s">
        <v>146</v>
      </c>
      <c r="C102" s="7">
        <v>5572010.5099999998</v>
      </c>
      <c r="D102" s="7">
        <v>781400</v>
      </c>
      <c r="E102" s="7">
        <v>780306</v>
      </c>
      <c r="F102" s="7">
        <f t="shared" si="27"/>
        <v>-4791704.51</v>
      </c>
      <c r="G102" s="7">
        <f t="shared" si="28"/>
        <v>-1094</v>
      </c>
      <c r="H102" s="7">
        <v>779998</v>
      </c>
      <c r="I102" s="7">
        <v>781494</v>
      </c>
      <c r="J102" s="7">
        <f>781400+590000</f>
        <v>1371400</v>
      </c>
    </row>
    <row r="103" spans="1:10" ht="99" customHeight="1" outlineLevel="1" x14ac:dyDescent="0.2">
      <c r="A103" s="21" t="s">
        <v>147</v>
      </c>
      <c r="B103" s="6" t="s">
        <v>231</v>
      </c>
      <c r="C103" s="7">
        <v>42350.92</v>
      </c>
      <c r="D103" s="7">
        <v>103000</v>
      </c>
      <c r="E103" s="7">
        <v>2000</v>
      </c>
      <c r="F103" s="7">
        <f t="shared" si="27"/>
        <v>-40350.92</v>
      </c>
      <c r="G103" s="7">
        <f t="shared" si="28"/>
        <v>-101000</v>
      </c>
      <c r="H103" s="7">
        <v>1000</v>
      </c>
      <c r="I103" s="7">
        <v>1000</v>
      </c>
      <c r="J103" s="7">
        <f>103000-81450</f>
        <v>21550</v>
      </c>
    </row>
    <row r="104" spans="1:10" ht="31.5" outlineLevel="1" x14ac:dyDescent="0.2">
      <c r="A104" s="3" t="s">
        <v>244</v>
      </c>
      <c r="B104" s="13" t="s">
        <v>245</v>
      </c>
      <c r="C104" s="4">
        <f>C105</f>
        <v>3000</v>
      </c>
      <c r="D104" s="4">
        <f>D105</f>
        <v>0</v>
      </c>
      <c r="E104" s="4">
        <f t="shared" ref="E104" si="32">E105</f>
        <v>0</v>
      </c>
      <c r="F104" s="7">
        <f t="shared" si="27"/>
        <v>-3000</v>
      </c>
      <c r="G104" s="7">
        <f t="shared" si="28"/>
        <v>0</v>
      </c>
      <c r="H104" s="4">
        <f t="shared" ref="H104:I104" si="33">H105</f>
        <v>0</v>
      </c>
      <c r="I104" s="4">
        <f t="shared" si="33"/>
        <v>0</v>
      </c>
      <c r="J104" s="4">
        <f>J105</f>
        <v>666160</v>
      </c>
    </row>
    <row r="105" spans="1:10" ht="157.5" outlineLevel="1" x14ac:dyDescent="0.2">
      <c r="A105" s="21" t="s">
        <v>242</v>
      </c>
      <c r="B105" s="6" t="s">
        <v>243</v>
      </c>
      <c r="C105" s="7">
        <v>3000</v>
      </c>
      <c r="D105" s="7"/>
      <c r="E105" s="7"/>
      <c r="F105" s="7">
        <f t="shared" si="27"/>
        <v>-3000</v>
      </c>
      <c r="G105" s="7">
        <f t="shared" si="28"/>
        <v>0</v>
      </c>
      <c r="H105" s="7"/>
      <c r="I105" s="7"/>
      <c r="J105" s="7">
        <v>666160</v>
      </c>
    </row>
    <row r="106" spans="1:10" s="5" customFormat="1" ht="16.5" customHeight="1" x14ac:dyDescent="0.2">
      <c r="A106" s="3" t="s">
        <v>148</v>
      </c>
      <c r="B106" s="13" t="s">
        <v>149</v>
      </c>
      <c r="C106" s="4">
        <f>SUM(C107:C108)</f>
        <v>1558634.87</v>
      </c>
      <c r="D106" s="4">
        <f t="shared" ref="D106:E106" si="34">SUM(D107:D108)</f>
        <v>1760110</v>
      </c>
      <c r="E106" s="4">
        <f t="shared" si="34"/>
        <v>4515780</v>
      </c>
      <c r="F106" s="4">
        <f t="shared" si="27"/>
        <v>2957145.13</v>
      </c>
      <c r="G106" s="4">
        <f t="shared" si="28"/>
        <v>2755670</v>
      </c>
      <c r="H106" s="4">
        <f t="shared" ref="H106:J106" si="35">SUM(H107:H108)</f>
        <v>4590280</v>
      </c>
      <c r="I106" s="4">
        <f t="shared" si="35"/>
        <v>4700840</v>
      </c>
      <c r="J106" s="4">
        <f t="shared" si="35"/>
        <v>6256210</v>
      </c>
    </row>
    <row r="107" spans="1:10" ht="32.25" customHeight="1" outlineLevel="1" x14ac:dyDescent="0.2">
      <c r="A107" s="21" t="s">
        <v>197</v>
      </c>
      <c r="B107" s="6" t="s">
        <v>198</v>
      </c>
      <c r="C107" s="7">
        <v>-1938.71</v>
      </c>
      <c r="D107" s="7"/>
      <c r="E107" s="7"/>
      <c r="F107" s="7">
        <f t="shared" si="27"/>
        <v>1938.71</v>
      </c>
      <c r="G107" s="7">
        <f t="shared" si="28"/>
        <v>0</v>
      </c>
      <c r="H107" s="7"/>
      <c r="I107" s="7"/>
      <c r="J107" s="7"/>
    </row>
    <row r="108" spans="1:10" ht="32.25" customHeight="1" outlineLevel="1" x14ac:dyDescent="0.2">
      <c r="A108" s="21" t="s">
        <v>150</v>
      </c>
      <c r="B108" s="6" t="s">
        <v>151</v>
      </c>
      <c r="C108" s="7">
        <v>1560573.58</v>
      </c>
      <c r="D108" s="7">
        <v>1760110</v>
      </c>
      <c r="E108" s="7">
        <v>4515780</v>
      </c>
      <c r="F108" s="7">
        <f t="shared" si="27"/>
        <v>2955206.42</v>
      </c>
      <c r="G108" s="7">
        <f t="shared" si="28"/>
        <v>2755670</v>
      </c>
      <c r="H108" s="7">
        <v>4590280</v>
      </c>
      <c r="I108" s="7">
        <v>4700840</v>
      </c>
      <c r="J108" s="7">
        <f>SUM(J109:J111)</f>
        <v>6256210</v>
      </c>
    </row>
    <row r="109" spans="1:10" ht="47.25" hidden="1" outlineLevel="1" x14ac:dyDescent="0.2">
      <c r="A109" s="21" t="s">
        <v>266</v>
      </c>
      <c r="B109" s="6" t="s">
        <v>269</v>
      </c>
      <c r="C109" s="7"/>
      <c r="D109" s="7"/>
      <c r="E109" s="7"/>
      <c r="F109" s="7"/>
      <c r="G109" s="7"/>
      <c r="H109" s="7"/>
      <c r="I109" s="7"/>
      <c r="J109" s="7">
        <f>1500000+220100</f>
        <v>1720100</v>
      </c>
    </row>
    <row r="110" spans="1:10" ht="78.75" hidden="1" outlineLevel="1" x14ac:dyDescent="0.2">
      <c r="A110" s="21" t="s">
        <v>267</v>
      </c>
      <c r="B110" s="6" t="s">
        <v>270</v>
      </c>
      <c r="C110" s="7"/>
      <c r="D110" s="7"/>
      <c r="E110" s="7"/>
      <c r="F110" s="7"/>
      <c r="G110" s="7"/>
      <c r="H110" s="7"/>
      <c r="I110" s="7"/>
      <c r="J110" s="7">
        <f>260110+1576000</f>
        <v>1836110</v>
      </c>
    </row>
    <row r="111" spans="1:10" ht="63" hidden="1" outlineLevel="1" x14ac:dyDescent="0.2">
      <c r="A111" s="21" t="s">
        <v>268</v>
      </c>
      <c r="B111" s="6" t="s">
        <v>271</v>
      </c>
      <c r="C111" s="7"/>
      <c r="D111" s="7"/>
      <c r="E111" s="7"/>
      <c r="F111" s="7"/>
      <c r="G111" s="7"/>
      <c r="H111" s="7"/>
      <c r="I111" s="7"/>
      <c r="J111" s="7">
        <v>2700000</v>
      </c>
    </row>
    <row r="112" spans="1:10" ht="14.25" customHeight="1" collapsed="1" x14ac:dyDescent="0.2">
      <c r="A112" s="3" t="s">
        <v>152</v>
      </c>
      <c r="B112" s="13" t="s">
        <v>153</v>
      </c>
      <c r="C112" s="4">
        <f>C113+C141+C143</f>
        <v>1115594060.8600001</v>
      </c>
      <c r="D112" s="4">
        <f>D113+D141+D143</f>
        <v>817411344.19999993</v>
      </c>
      <c r="E112" s="4">
        <f>E113+E141+E143</f>
        <v>873978208.80999994</v>
      </c>
      <c r="F112" s="4">
        <f t="shared" si="27"/>
        <v>-241615852.05000019</v>
      </c>
      <c r="G112" s="4">
        <f t="shared" si="28"/>
        <v>56566864.610000014</v>
      </c>
      <c r="H112" s="4">
        <f>H113+H141+H143</f>
        <v>1202302607.7</v>
      </c>
      <c r="I112" s="4">
        <f>I113+I141+I143</f>
        <v>790015087.23000002</v>
      </c>
      <c r="J112" s="4">
        <f>J113+J141+J143</f>
        <v>817411344.19999993</v>
      </c>
    </row>
    <row r="113" spans="1:10" ht="47.25" x14ac:dyDescent="0.2">
      <c r="A113" s="3" t="s">
        <v>154</v>
      </c>
      <c r="B113" s="13" t="s">
        <v>155</v>
      </c>
      <c r="C113" s="4">
        <f>C114+C117+C126+C137</f>
        <v>1115971126.9100001</v>
      </c>
      <c r="D113" s="4">
        <f>D114+D117+D126+D137</f>
        <v>817411344.19999993</v>
      </c>
      <c r="E113" s="4">
        <f>E114+E117+E126+E137</f>
        <v>873978208.80999994</v>
      </c>
      <c r="F113" s="4">
        <f t="shared" si="27"/>
        <v>-241992918.10000014</v>
      </c>
      <c r="G113" s="4">
        <f t="shared" si="28"/>
        <v>56566864.610000014</v>
      </c>
      <c r="H113" s="4">
        <f>H114+H117+H126+H137</f>
        <v>1202302607.7</v>
      </c>
      <c r="I113" s="4">
        <f>I114+I117+I126+I137</f>
        <v>790015087.23000002</v>
      </c>
      <c r="J113" s="4">
        <f>J114+J117+J126+J137</f>
        <v>817411344.19999993</v>
      </c>
    </row>
    <row r="114" spans="1:10" ht="31.5" x14ac:dyDescent="0.2">
      <c r="A114" s="3" t="s">
        <v>156</v>
      </c>
      <c r="B114" s="13" t="s">
        <v>157</v>
      </c>
      <c r="C114" s="4">
        <f>SUM(C115:C116)</f>
        <v>58163562.850000001</v>
      </c>
      <c r="D114" s="4">
        <f t="shared" ref="D114:E114" si="36">SUM(D115:D116)</f>
        <v>33294100</v>
      </c>
      <c r="E114" s="4">
        <f t="shared" si="36"/>
        <v>33393280</v>
      </c>
      <c r="F114" s="4">
        <f t="shared" si="27"/>
        <v>-24770282.850000001</v>
      </c>
      <c r="G114" s="4">
        <f t="shared" si="28"/>
        <v>99180</v>
      </c>
      <c r="H114" s="4">
        <f t="shared" ref="H114:J114" si="37">SUM(H115:H116)</f>
        <v>0</v>
      </c>
      <c r="I114" s="4">
        <f t="shared" si="37"/>
        <v>0</v>
      </c>
      <c r="J114" s="4">
        <f t="shared" si="37"/>
        <v>33294100</v>
      </c>
    </row>
    <row r="115" spans="1:10" ht="50.25" customHeight="1" outlineLevel="1" x14ac:dyDescent="0.2">
      <c r="A115" s="21" t="s">
        <v>211</v>
      </c>
      <c r="B115" s="6" t="s">
        <v>212</v>
      </c>
      <c r="C115" s="7"/>
      <c r="D115" s="7"/>
      <c r="E115" s="7">
        <v>33393280</v>
      </c>
      <c r="F115" s="7">
        <f t="shared" si="27"/>
        <v>33393280</v>
      </c>
      <c r="G115" s="7">
        <f t="shared" si="28"/>
        <v>33393280</v>
      </c>
      <c r="H115" s="7"/>
      <c r="I115" s="7"/>
      <c r="J115" s="7"/>
    </row>
    <row r="116" spans="1:10" ht="50.25" customHeight="1" outlineLevel="1" x14ac:dyDescent="0.2">
      <c r="A116" s="21" t="s">
        <v>158</v>
      </c>
      <c r="B116" s="6" t="s">
        <v>159</v>
      </c>
      <c r="C116" s="7">
        <v>58163562.850000001</v>
      </c>
      <c r="D116" s="7">
        <v>33294100</v>
      </c>
      <c r="E116" s="7"/>
      <c r="F116" s="7">
        <f t="shared" si="27"/>
        <v>-58163562.850000001</v>
      </c>
      <c r="G116" s="7">
        <f t="shared" si="28"/>
        <v>-33294100</v>
      </c>
      <c r="H116" s="7"/>
      <c r="I116" s="7"/>
      <c r="J116" s="7">
        <v>33294100</v>
      </c>
    </row>
    <row r="117" spans="1:10" ht="47.25" x14ac:dyDescent="0.2">
      <c r="A117" s="3" t="s">
        <v>160</v>
      </c>
      <c r="B117" s="13" t="s">
        <v>161</v>
      </c>
      <c r="C117" s="4">
        <f>SUM(C118:C125)</f>
        <v>460881059.30000001</v>
      </c>
      <c r="D117" s="4">
        <f t="shared" ref="D117:E117" si="38">SUM(D118:D125)</f>
        <v>163466767.41999999</v>
      </c>
      <c r="E117" s="4">
        <f t="shared" si="38"/>
        <v>193387059.33999997</v>
      </c>
      <c r="F117" s="4">
        <f t="shared" si="27"/>
        <v>-267493999.96000004</v>
      </c>
      <c r="G117" s="4">
        <f t="shared" si="28"/>
        <v>29920291.919999987</v>
      </c>
      <c r="H117" s="4">
        <f t="shared" ref="H117:J117" si="39">SUM(H118:H125)</f>
        <v>503339215.82999998</v>
      </c>
      <c r="I117" s="4">
        <f t="shared" si="39"/>
        <v>57339215.829999998</v>
      </c>
      <c r="J117" s="4">
        <f t="shared" si="39"/>
        <v>163466767.41999999</v>
      </c>
    </row>
    <row r="118" spans="1:10" ht="157.5" x14ac:dyDescent="0.2">
      <c r="A118" s="21" t="s">
        <v>258</v>
      </c>
      <c r="B118" s="6" t="s">
        <v>259</v>
      </c>
      <c r="C118" s="7"/>
      <c r="D118" s="7">
        <v>26874803.34</v>
      </c>
      <c r="E118" s="7"/>
      <c r="F118" s="7">
        <f t="shared" si="27"/>
        <v>0</v>
      </c>
      <c r="G118" s="7">
        <f t="shared" si="28"/>
        <v>-26874803.34</v>
      </c>
      <c r="H118" s="7"/>
      <c r="I118" s="7"/>
      <c r="J118" s="7">
        <v>26874803.34</v>
      </c>
    </row>
    <row r="119" spans="1:10" ht="114.75" customHeight="1" outlineLevel="1" x14ac:dyDescent="0.2">
      <c r="A119" s="21" t="s">
        <v>162</v>
      </c>
      <c r="B119" s="6" t="s">
        <v>163</v>
      </c>
      <c r="C119" s="7"/>
      <c r="D119" s="7">
        <v>4697746.99</v>
      </c>
      <c r="E119" s="7"/>
      <c r="F119" s="7">
        <f t="shared" si="27"/>
        <v>0</v>
      </c>
      <c r="G119" s="7">
        <f t="shared" si="28"/>
        <v>-4697746.99</v>
      </c>
      <c r="H119" s="7"/>
      <c r="I119" s="7"/>
      <c r="J119" s="7">
        <v>4697746.99</v>
      </c>
    </row>
    <row r="120" spans="1:10" ht="80.25" customHeight="1" outlineLevel="1" x14ac:dyDescent="0.2">
      <c r="A120" s="21" t="s">
        <v>164</v>
      </c>
      <c r="B120" s="6" t="s">
        <v>165</v>
      </c>
      <c r="C120" s="7">
        <v>2142220</v>
      </c>
      <c r="D120" s="7">
        <v>1061134.24</v>
      </c>
      <c r="E120" s="7"/>
      <c r="F120" s="7">
        <f t="shared" si="27"/>
        <v>-2142220</v>
      </c>
      <c r="G120" s="7">
        <f t="shared" si="28"/>
        <v>-1061134.24</v>
      </c>
      <c r="H120" s="7">
        <v>973730.35</v>
      </c>
      <c r="I120" s="7">
        <v>973730.35</v>
      </c>
      <c r="J120" s="7">
        <v>1061134.24</v>
      </c>
    </row>
    <row r="121" spans="1:10" ht="83.25" customHeight="1" outlineLevel="1" x14ac:dyDescent="0.2">
      <c r="A121" s="21" t="s">
        <v>170</v>
      </c>
      <c r="B121" s="6" t="s">
        <v>171</v>
      </c>
      <c r="C121" s="7">
        <v>6717221.9000000004</v>
      </c>
      <c r="D121" s="7"/>
      <c r="E121" s="7"/>
      <c r="F121" s="7">
        <f t="shared" si="27"/>
        <v>-6717221.9000000004</v>
      </c>
      <c r="G121" s="7">
        <f t="shared" si="28"/>
        <v>0</v>
      </c>
      <c r="H121" s="7"/>
      <c r="I121" s="7"/>
      <c r="J121" s="7"/>
    </row>
    <row r="122" spans="1:10" ht="48.75" customHeight="1" outlineLevel="1" x14ac:dyDescent="0.2">
      <c r="A122" s="21" t="s">
        <v>166</v>
      </c>
      <c r="B122" s="6" t="s">
        <v>167</v>
      </c>
      <c r="C122" s="7">
        <v>1563915.58</v>
      </c>
      <c r="D122" s="7">
        <v>3949529</v>
      </c>
      <c r="E122" s="7">
        <v>4230349.18</v>
      </c>
      <c r="F122" s="7">
        <f t="shared" si="27"/>
        <v>2666433.5999999996</v>
      </c>
      <c r="G122" s="7">
        <f t="shared" si="28"/>
        <v>280820.1799999997</v>
      </c>
      <c r="H122" s="7">
        <v>4570245.5</v>
      </c>
      <c r="I122" s="7">
        <v>4570245.5</v>
      </c>
      <c r="J122" s="7">
        <v>3949529</v>
      </c>
    </row>
    <row r="123" spans="1:10" ht="34.5" hidden="1" customHeight="1" outlineLevel="1" x14ac:dyDescent="0.2">
      <c r="A123" s="21" t="s">
        <v>199</v>
      </c>
      <c r="B123" s="6" t="s">
        <v>200</v>
      </c>
      <c r="C123" s="7"/>
      <c r="D123" s="7"/>
      <c r="E123" s="7"/>
      <c r="F123" s="7">
        <f t="shared" si="27"/>
        <v>0</v>
      </c>
      <c r="G123" s="7">
        <f t="shared" si="28"/>
        <v>0</v>
      </c>
      <c r="H123" s="7"/>
      <c r="I123" s="7"/>
      <c r="J123" s="7"/>
    </row>
    <row r="124" spans="1:10" ht="47.25" customHeight="1" outlineLevel="1" x14ac:dyDescent="0.2">
      <c r="A124" s="21" t="s">
        <v>168</v>
      </c>
      <c r="B124" s="6" t="s">
        <v>169</v>
      </c>
      <c r="C124" s="7">
        <v>25982401.829999998</v>
      </c>
      <c r="D124" s="7">
        <v>26742322</v>
      </c>
      <c r="E124" s="7">
        <v>26071112.460000001</v>
      </c>
      <c r="F124" s="7">
        <f t="shared" si="27"/>
        <v>88710.630000002682</v>
      </c>
      <c r="G124" s="7">
        <f t="shared" si="28"/>
        <v>-671209.53999999911</v>
      </c>
      <c r="H124" s="7">
        <v>26071112.460000001</v>
      </c>
      <c r="I124" s="7">
        <v>26071112.460000001</v>
      </c>
      <c r="J124" s="7">
        <v>26742322</v>
      </c>
    </row>
    <row r="125" spans="1:10" ht="18" customHeight="1" outlineLevel="1" x14ac:dyDescent="0.2">
      <c r="A125" s="21" t="s">
        <v>172</v>
      </c>
      <c r="B125" s="6" t="s">
        <v>173</v>
      </c>
      <c r="C125" s="7">
        <v>424475299.99000001</v>
      </c>
      <c r="D125" s="7">
        <v>100141231.84999999</v>
      </c>
      <c r="E125" s="7">
        <v>163085597.69999999</v>
      </c>
      <c r="F125" s="7">
        <f t="shared" si="27"/>
        <v>-261389702.29000002</v>
      </c>
      <c r="G125" s="7">
        <f t="shared" si="28"/>
        <v>62944365.849999994</v>
      </c>
      <c r="H125" s="7">
        <v>471724127.51999998</v>
      </c>
      <c r="I125" s="7">
        <v>25724127.52</v>
      </c>
      <c r="J125" s="7">
        <v>100141231.84999999</v>
      </c>
    </row>
    <row r="126" spans="1:10" ht="33" customHeight="1" x14ac:dyDescent="0.2">
      <c r="A126" s="3" t="s">
        <v>174</v>
      </c>
      <c r="B126" s="13" t="s">
        <v>175</v>
      </c>
      <c r="C126" s="4">
        <f>SUM(C127:C136)</f>
        <v>582779386.28999996</v>
      </c>
      <c r="D126" s="4">
        <f>SUM(D127:D136)</f>
        <v>589341276.77999997</v>
      </c>
      <c r="E126" s="4">
        <f>SUM(E127:E136)</f>
        <v>616590669.47000003</v>
      </c>
      <c r="F126" s="4">
        <f t="shared" si="27"/>
        <v>33811283.180000067</v>
      </c>
      <c r="G126" s="4">
        <f t="shared" si="28"/>
        <v>27249392.690000057</v>
      </c>
      <c r="H126" s="4">
        <f>SUM(H127:H136)</f>
        <v>668356191.87</v>
      </c>
      <c r="I126" s="4">
        <f>SUM(I127:I136)</f>
        <v>702068671.39999998</v>
      </c>
      <c r="J126" s="4">
        <f>SUM(J127:J136)</f>
        <v>589341276.77999997</v>
      </c>
    </row>
    <row r="127" spans="1:10" ht="47.25" customHeight="1" outlineLevel="1" x14ac:dyDescent="0.2">
      <c r="A127" s="21" t="s">
        <v>176</v>
      </c>
      <c r="B127" s="6" t="s">
        <v>177</v>
      </c>
      <c r="C127" s="7">
        <v>561840215.73000002</v>
      </c>
      <c r="D127" s="7">
        <v>549574509.04999995</v>
      </c>
      <c r="E127" s="7">
        <v>562853098.76999998</v>
      </c>
      <c r="F127" s="7">
        <f t="shared" si="27"/>
        <v>1012883.0399999619</v>
      </c>
      <c r="G127" s="7">
        <f t="shared" si="28"/>
        <v>13278589.720000029</v>
      </c>
      <c r="H127" s="7">
        <v>615052293.09000003</v>
      </c>
      <c r="I127" s="7">
        <v>648317662.32999992</v>
      </c>
      <c r="J127" s="7">
        <v>549574509.04999995</v>
      </c>
    </row>
    <row r="128" spans="1:10" ht="96.75" customHeight="1" outlineLevel="1" x14ac:dyDescent="0.2">
      <c r="A128" s="21" t="s">
        <v>178</v>
      </c>
      <c r="B128" s="6" t="s">
        <v>179</v>
      </c>
      <c r="C128" s="7">
        <v>6585435.2800000003</v>
      </c>
      <c r="D128" s="7">
        <v>10807018</v>
      </c>
      <c r="E128" s="7">
        <v>10437528</v>
      </c>
      <c r="F128" s="7">
        <f t="shared" si="27"/>
        <v>3852092.7199999997</v>
      </c>
      <c r="G128" s="7">
        <f t="shared" si="28"/>
        <v>-369490</v>
      </c>
      <c r="H128" s="7">
        <v>10437528</v>
      </c>
      <c r="I128" s="7">
        <v>10437528</v>
      </c>
      <c r="J128" s="7">
        <v>10807018</v>
      </c>
    </row>
    <row r="129" spans="1:10" ht="79.5" customHeight="1" outlineLevel="1" x14ac:dyDescent="0.2">
      <c r="A129" s="21" t="s">
        <v>213</v>
      </c>
      <c r="B129" s="6" t="s">
        <v>214</v>
      </c>
      <c r="C129" s="7"/>
      <c r="D129" s="7"/>
      <c r="E129" s="7">
        <v>12971400</v>
      </c>
      <c r="F129" s="7">
        <f t="shared" si="27"/>
        <v>12971400</v>
      </c>
      <c r="G129" s="7">
        <f t="shared" si="28"/>
        <v>12971400</v>
      </c>
      <c r="H129" s="7">
        <v>12971400</v>
      </c>
      <c r="I129" s="7">
        <v>12971279.109999999</v>
      </c>
      <c r="J129" s="7"/>
    </row>
    <row r="130" spans="1:10" ht="79.5" customHeight="1" outlineLevel="1" x14ac:dyDescent="0.2">
      <c r="A130" s="21" t="s">
        <v>180</v>
      </c>
      <c r="B130" s="6" t="s">
        <v>181</v>
      </c>
      <c r="C130" s="7">
        <v>41821</v>
      </c>
      <c r="D130" s="7">
        <v>64204.32</v>
      </c>
      <c r="E130" s="7">
        <v>379255</v>
      </c>
      <c r="F130" s="7">
        <f t="shared" si="27"/>
        <v>337434</v>
      </c>
      <c r="G130" s="7">
        <f t="shared" si="28"/>
        <v>315050.68</v>
      </c>
      <c r="H130" s="7">
        <v>26175</v>
      </c>
      <c r="I130" s="7">
        <v>26175</v>
      </c>
      <c r="J130" s="7">
        <v>64204.32</v>
      </c>
    </row>
    <row r="131" spans="1:10" ht="66" customHeight="1" outlineLevel="1" x14ac:dyDescent="0.2">
      <c r="A131" s="21" t="s">
        <v>182</v>
      </c>
      <c r="B131" s="6" t="s">
        <v>183</v>
      </c>
      <c r="C131" s="7">
        <v>376593.91</v>
      </c>
      <c r="D131" s="7">
        <v>608793.41</v>
      </c>
      <c r="E131" s="7">
        <v>2839064.7</v>
      </c>
      <c r="F131" s="7">
        <f t="shared" si="27"/>
        <v>2462470.79</v>
      </c>
      <c r="G131" s="7">
        <f t="shared" si="28"/>
        <v>2230271.29</v>
      </c>
      <c r="H131" s="7">
        <v>2663800.7799999998</v>
      </c>
      <c r="I131" s="7">
        <v>3012571.96</v>
      </c>
      <c r="J131" s="7">
        <v>608793.41</v>
      </c>
    </row>
    <row r="132" spans="1:10" ht="80.25" customHeight="1" outlineLevel="1" x14ac:dyDescent="0.2">
      <c r="A132" s="21" t="s">
        <v>221</v>
      </c>
      <c r="B132" s="6" t="s">
        <v>222</v>
      </c>
      <c r="C132" s="7">
        <v>9856900.3699999992</v>
      </c>
      <c r="D132" s="7">
        <v>22181600</v>
      </c>
      <c r="E132" s="7">
        <v>21610400</v>
      </c>
      <c r="F132" s="7">
        <f t="shared" si="27"/>
        <v>11753499.630000001</v>
      </c>
      <c r="G132" s="7">
        <f t="shared" ref="G132:G136" si="40">E132-D132</f>
        <v>-571200</v>
      </c>
      <c r="H132" s="7">
        <v>21610400</v>
      </c>
      <c r="I132" s="7">
        <v>21610400</v>
      </c>
      <c r="J132" s="7">
        <v>22181600</v>
      </c>
    </row>
    <row r="133" spans="1:10" ht="47.25" outlineLevel="1" x14ac:dyDescent="0.2">
      <c r="A133" s="21" t="s">
        <v>252</v>
      </c>
      <c r="B133" s="6" t="s">
        <v>253</v>
      </c>
      <c r="C133" s="7"/>
      <c r="D133" s="7">
        <v>665496</v>
      </c>
      <c r="E133" s="7"/>
      <c r="F133" s="7">
        <f t="shared" si="27"/>
        <v>0</v>
      </c>
      <c r="G133" s="7">
        <f t="shared" si="40"/>
        <v>-665496</v>
      </c>
      <c r="H133" s="7"/>
      <c r="I133" s="7"/>
      <c r="J133" s="7">
        <v>665496</v>
      </c>
    </row>
    <row r="134" spans="1:10" ht="48" customHeight="1" outlineLevel="1" x14ac:dyDescent="0.2">
      <c r="A134" s="21" t="s">
        <v>184</v>
      </c>
      <c r="B134" s="6" t="s">
        <v>185</v>
      </c>
      <c r="C134" s="7">
        <v>4078420</v>
      </c>
      <c r="D134" s="7">
        <v>2349253</v>
      </c>
      <c r="E134" s="7">
        <v>2444414</v>
      </c>
      <c r="F134" s="7">
        <f t="shared" si="27"/>
        <v>-1634006</v>
      </c>
      <c r="G134" s="7">
        <f t="shared" si="40"/>
        <v>95161</v>
      </c>
      <c r="H134" s="7">
        <v>2444414</v>
      </c>
      <c r="I134" s="7">
        <v>2444414</v>
      </c>
      <c r="J134" s="7">
        <v>2349253</v>
      </c>
    </row>
    <row r="135" spans="1:10" ht="38.25" customHeight="1" outlineLevel="1" x14ac:dyDescent="0.2">
      <c r="A135" s="21" t="s">
        <v>254</v>
      </c>
      <c r="B135" s="6" t="s">
        <v>255</v>
      </c>
      <c r="C135" s="7"/>
      <c r="D135" s="7">
        <v>2397456</v>
      </c>
      <c r="E135" s="7">
        <v>2514533</v>
      </c>
      <c r="F135" s="7">
        <f t="shared" si="27"/>
        <v>2514533</v>
      </c>
      <c r="G135" s="7">
        <f t="shared" si="40"/>
        <v>117077</v>
      </c>
      <c r="H135" s="7">
        <v>2609205</v>
      </c>
      <c r="I135" s="7">
        <v>2707665</v>
      </c>
      <c r="J135" s="7">
        <v>2397456</v>
      </c>
    </row>
    <row r="136" spans="1:10" ht="24" customHeight="1" outlineLevel="1" x14ac:dyDescent="0.2">
      <c r="A136" s="21" t="s">
        <v>256</v>
      </c>
      <c r="B136" s="6" t="s">
        <v>257</v>
      </c>
      <c r="C136" s="7"/>
      <c r="D136" s="7">
        <v>692947</v>
      </c>
      <c r="E136" s="7">
        <v>540976</v>
      </c>
      <c r="F136" s="7">
        <f t="shared" si="27"/>
        <v>540976</v>
      </c>
      <c r="G136" s="7">
        <f t="shared" si="40"/>
        <v>-151971</v>
      </c>
      <c r="H136" s="7">
        <v>540976</v>
      </c>
      <c r="I136" s="7">
        <v>540976</v>
      </c>
      <c r="J136" s="7">
        <v>692947</v>
      </c>
    </row>
    <row r="137" spans="1:10" s="5" customFormat="1" ht="15.75" x14ac:dyDescent="0.2">
      <c r="A137" s="3" t="s">
        <v>186</v>
      </c>
      <c r="B137" s="13" t="s">
        <v>187</v>
      </c>
      <c r="C137" s="4">
        <f>SUM(C138:C140)</f>
        <v>14147118.469999999</v>
      </c>
      <c r="D137" s="4">
        <f t="shared" ref="D137:E137" si="41">SUM(D138:D140)</f>
        <v>31309200</v>
      </c>
      <c r="E137" s="4">
        <f t="shared" si="41"/>
        <v>30607200</v>
      </c>
      <c r="F137" s="4">
        <f t="shared" si="27"/>
        <v>16460081.530000001</v>
      </c>
      <c r="G137" s="4">
        <f t="shared" si="28"/>
        <v>-702000</v>
      </c>
      <c r="H137" s="4">
        <f t="shared" ref="H137:J137" si="42">SUM(H138:H140)</f>
        <v>30607200</v>
      </c>
      <c r="I137" s="4">
        <f t="shared" si="42"/>
        <v>30607200</v>
      </c>
      <c r="J137" s="4">
        <f t="shared" si="42"/>
        <v>31309200</v>
      </c>
    </row>
    <row r="138" spans="1:10" ht="78" customHeight="1" outlineLevel="1" x14ac:dyDescent="0.2">
      <c r="A138" s="21" t="s">
        <v>217</v>
      </c>
      <c r="B138" s="6" t="s">
        <v>218</v>
      </c>
      <c r="C138" s="7">
        <v>9311488.6199999992</v>
      </c>
      <c r="D138" s="7">
        <v>31309200</v>
      </c>
      <c r="E138" s="7">
        <v>30607200</v>
      </c>
      <c r="F138" s="7">
        <f t="shared" ref="F138" si="43">E138-C138</f>
        <v>21295711.380000003</v>
      </c>
      <c r="G138" s="7">
        <f t="shared" ref="G138:G139" si="44">E138-D138</f>
        <v>-702000</v>
      </c>
      <c r="H138" s="7">
        <v>30607200</v>
      </c>
      <c r="I138" s="7">
        <v>30607200</v>
      </c>
      <c r="J138" s="7">
        <v>31309200</v>
      </c>
    </row>
    <row r="139" spans="1:10" ht="63" outlineLevel="1" x14ac:dyDescent="0.2">
      <c r="A139" s="21" t="s">
        <v>246</v>
      </c>
      <c r="B139" s="6" t="s">
        <v>247</v>
      </c>
      <c r="C139" s="7">
        <v>148773.85</v>
      </c>
      <c r="D139" s="7"/>
      <c r="E139" s="7"/>
      <c r="F139" s="7">
        <f t="shared" si="27"/>
        <v>-148773.85</v>
      </c>
      <c r="G139" s="7">
        <f t="shared" si="44"/>
        <v>0</v>
      </c>
      <c r="H139" s="7"/>
      <c r="I139" s="7"/>
      <c r="J139" s="7"/>
    </row>
    <row r="140" spans="1:10" ht="33" customHeight="1" outlineLevel="1" x14ac:dyDescent="0.2">
      <c r="A140" s="21" t="s">
        <v>188</v>
      </c>
      <c r="B140" s="6" t="s">
        <v>189</v>
      </c>
      <c r="C140" s="7">
        <v>4686856</v>
      </c>
      <c r="D140" s="7">
        <v>0</v>
      </c>
      <c r="E140" s="7"/>
      <c r="F140" s="7">
        <f t="shared" si="27"/>
        <v>-4686856</v>
      </c>
      <c r="G140" s="7">
        <f t="shared" si="28"/>
        <v>0</v>
      </c>
      <c r="H140" s="7"/>
      <c r="I140" s="7"/>
      <c r="J140" s="7">
        <v>0</v>
      </c>
    </row>
    <row r="141" spans="1:10" s="5" customFormat="1" ht="36.75" hidden="1" customHeight="1" x14ac:dyDescent="0.2">
      <c r="A141" s="3" t="s">
        <v>201</v>
      </c>
      <c r="B141" s="13" t="s">
        <v>202</v>
      </c>
      <c r="C141" s="4">
        <f>C142</f>
        <v>0</v>
      </c>
      <c r="D141" s="4">
        <f>D142</f>
        <v>0</v>
      </c>
      <c r="E141" s="4">
        <f>E142</f>
        <v>0</v>
      </c>
      <c r="F141" s="4">
        <f t="shared" si="27"/>
        <v>0</v>
      </c>
      <c r="G141" s="4">
        <f t="shared" si="28"/>
        <v>0</v>
      </c>
      <c r="H141" s="4">
        <f>H142</f>
        <v>0</v>
      </c>
      <c r="I141" s="4">
        <f>I142</f>
        <v>0</v>
      </c>
      <c r="J141" s="4">
        <f>J142</f>
        <v>0</v>
      </c>
    </row>
    <row r="142" spans="1:10" ht="59.25" hidden="1" customHeight="1" outlineLevel="1" x14ac:dyDescent="0.2">
      <c r="A142" s="21" t="s">
        <v>203</v>
      </c>
      <c r="B142" s="6" t="s">
        <v>204</v>
      </c>
      <c r="C142" s="7"/>
      <c r="D142" s="7"/>
      <c r="E142" s="7"/>
      <c r="F142" s="7">
        <f t="shared" si="27"/>
        <v>0</v>
      </c>
      <c r="G142" s="7">
        <f t="shared" si="28"/>
        <v>0</v>
      </c>
      <c r="H142" s="7"/>
      <c r="I142" s="7"/>
      <c r="J142" s="7"/>
    </row>
    <row r="143" spans="1:10" s="5" customFormat="1" ht="63" collapsed="1" x14ac:dyDescent="0.2">
      <c r="A143" s="3" t="s">
        <v>205</v>
      </c>
      <c r="B143" s="13" t="s">
        <v>206</v>
      </c>
      <c r="C143" s="4">
        <f>SUM(C144:C145)</f>
        <v>-377066.05</v>
      </c>
      <c r="D143" s="4">
        <f t="shared" ref="D143:E143" si="45">SUM(D144:D145)</f>
        <v>0</v>
      </c>
      <c r="E143" s="4">
        <f t="shared" si="45"/>
        <v>0</v>
      </c>
      <c r="F143" s="4">
        <f t="shared" si="27"/>
        <v>377066.05</v>
      </c>
      <c r="G143" s="4">
        <f t="shared" si="28"/>
        <v>0</v>
      </c>
      <c r="H143" s="4">
        <f t="shared" ref="H143:J143" si="46">SUM(H144:H145)</f>
        <v>0</v>
      </c>
      <c r="I143" s="4">
        <f t="shared" si="46"/>
        <v>0</v>
      </c>
      <c r="J143" s="4">
        <f t="shared" si="46"/>
        <v>0</v>
      </c>
    </row>
    <row r="144" spans="1:10" ht="80.25" customHeight="1" outlineLevel="1" x14ac:dyDescent="0.2">
      <c r="A144" s="21" t="s">
        <v>207</v>
      </c>
      <c r="B144" s="6" t="s">
        <v>208</v>
      </c>
      <c r="C144" s="7">
        <v>-377066.05</v>
      </c>
      <c r="D144" s="7"/>
      <c r="E144" s="7"/>
      <c r="F144" s="7">
        <f t="shared" si="27"/>
        <v>377066.05</v>
      </c>
      <c r="G144" s="7">
        <f t="shared" si="28"/>
        <v>0</v>
      </c>
      <c r="H144" s="7"/>
      <c r="I144" s="7"/>
      <c r="J144" s="7"/>
    </row>
    <row r="145" spans="1:10" ht="66.75" hidden="1" customHeight="1" outlineLevel="1" x14ac:dyDescent="0.2">
      <c r="A145" s="21" t="s">
        <v>209</v>
      </c>
      <c r="B145" s="6" t="s">
        <v>210</v>
      </c>
      <c r="C145" s="7"/>
      <c r="D145" s="7"/>
      <c r="E145" s="7"/>
      <c r="F145" s="7">
        <f t="shared" si="27"/>
        <v>0</v>
      </c>
      <c r="G145" s="7">
        <f t="shared" si="28"/>
        <v>0</v>
      </c>
      <c r="H145" s="7"/>
      <c r="I145" s="7"/>
      <c r="J145" s="7"/>
    </row>
    <row r="146" spans="1:10" ht="20.25" customHeight="1" collapsed="1" x14ac:dyDescent="0.2">
      <c r="A146" s="14"/>
      <c r="B146" s="13" t="s">
        <v>190</v>
      </c>
      <c r="C146" s="4">
        <f>C12+C112</f>
        <v>1799139106.5900002</v>
      </c>
      <c r="D146" s="4">
        <f>D12+D112</f>
        <v>1477309782.71</v>
      </c>
      <c r="E146" s="4">
        <f>E12+E112</f>
        <v>1700300855.6099999</v>
      </c>
      <c r="F146" s="4">
        <f t="shared" si="27"/>
        <v>-98838250.980000257</v>
      </c>
      <c r="G146" s="4">
        <f t="shared" si="28"/>
        <v>222991072.89999986</v>
      </c>
      <c r="H146" s="4">
        <f>H12+H112</f>
        <v>2041894716.5</v>
      </c>
      <c r="I146" s="4">
        <f>I12+I112</f>
        <v>1650103382.03</v>
      </c>
      <c r="J146" s="4">
        <f>J12+J112</f>
        <v>1489433744.5099998</v>
      </c>
    </row>
    <row r="147" spans="1:10" x14ac:dyDescent="0.2">
      <c r="C147" s="9"/>
      <c r="D147" s="9"/>
      <c r="E147" s="9"/>
      <c r="F147" s="9"/>
      <c r="G147" s="9"/>
      <c r="H147" s="9"/>
      <c r="I147" s="9"/>
    </row>
    <row r="149" spans="1:10" ht="17.25" customHeight="1" x14ac:dyDescent="0.25">
      <c r="C149" s="32"/>
    </row>
    <row r="154" spans="1:10" x14ac:dyDescent="0.2">
      <c r="B154" s="33"/>
    </row>
  </sheetData>
  <mergeCells count="2">
    <mergeCell ref="A7:I8"/>
    <mergeCell ref="A9:I9"/>
  </mergeCells>
  <pageMargins left="0.47244094488188981" right="0.39370078740157483" top="0.51181102362204722" bottom="0.27559055118110237" header="0.15748031496062992" footer="0.31496062992125984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Пинская Галина Павловна</dc:creator>
  <cp:lastModifiedBy>msv</cp:lastModifiedBy>
  <cp:lastPrinted>2020-10-20T01:13:14Z</cp:lastPrinted>
  <dcterms:created xsi:type="dcterms:W3CDTF">2020-10-19T04:36:44Z</dcterms:created>
  <dcterms:modified xsi:type="dcterms:W3CDTF">2021-11-01T07:20:30Z</dcterms:modified>
</cp:coreProperties>
</file>