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26" windowWidth="11325" windowHeight="9960" activeTab="0"/>
  </bookViews>
  <sheets>
    <sheet name="Прогноз" sheetId="1" r:id="rId1"/>
    <sheet name="инв" sheetId="2" r:id="rId2"/>
    <sheet name="фин" sheetId="3" r:id="rId3"/>
    <sheet name="Лист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0">'Прогноз'!$9:$11</definedName>
    <definedName name="_xlnm.Print_Area" localSheetId="1">'инв'!$A$194:$K$215</definedName>
    <definedName name="_xlnm.Print_Area" localSheetId="3">'Лист3'!$A$2:$K$48</definedName>
    <definedName name="_xlnm.Print_Area" localSheetId="0">'Прогноз'!$B$1:$L$116</definedName>
  </definedNames>
  <calcPr fullCalcOnLoad="1"/>
</workbook>
</file>

<file path=xl/comments1.xml><?xml version="1.0" encoding="utf-8"?>
<comments xmlns="http://schemas.openxmlformats.org/spreadsheetml/2006/main">
  <authors>
    <author>Фукалова Т.В.</author>
  </authors>
  <commentList>
    <comment ref="E51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мужчины 16-59 л. - 10778, женщины 16-54 л - 9673 сел</t>
        </r>
      </text>
    </comment>
    <comment ref="F51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ср.% за последние 3 года - 98,1</t>
        </r>
      </text>
    </comment>
    <comment ref="G51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98,8%</t>
        </r>
      </text>
    </comment>
    <comment ref="H51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99%</t>
        </r>
      </text>
    </comment>
    <comment ref="L53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цзн</t>
        </r>
      </text>
    </comment>
    <comment ref="L55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из прогноза МОНО</t>
        </r>
      </text>
    </comment>
  </commentList>
</comments>
</file>

<file path=xl/comments2.xml><?xml version="1.0" encoding="utf-8"?>
<comments xmlns="http://schemas.openxmlformats.org/spreadsheetml/2006/main">
  <authors>
    <author>Фукалова Т.В.</author>
  </authors>
  <commentList>
    <comment ref="E137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за минусом расходов на кап.ремонт. Приобретение...</t>
        </r>
      </text>
    </comment>
  </commentList>
</comments>
</file>

<file path=xl/comments4.xml><?xml version="1.0" encoding="utf-8"?>
<comments xmlns="http://schemas.openxmlformats.org/spreadsheetml/2006/main">
  <authors>
    <author>Фукалова Т.В.</author>
  </authors>
  <commentList>
    <comment ref="C33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статистика</t>
        </r>
      </text>
    </comment>
    <comment ref="G33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1,04</t>
        </r>
      </text>
    </comment>
    <comment ref="C19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стат</t>
        </r>
      </text>
    </comment>
    <comment ref="E19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дпм</t>
        </r>
      </text>
    </comment>
    <comment ref="H19" authorId="0">
      <text>
        <r>
          <rPr>
            <b/>
            <sz val="9"/>
            <rFont val="Tahoma"/>
            <family val="2"/>
          </rPr>
          <t>на ицп 1,048</t>
        </r>
      </text>
    </comment>
    <comment ref="J19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на ицп 1,05
</t>
        </r>
      </text>
    </comment>
    <comment ref="I19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на ицп 1,043</t>
        </r>
      </text>
    </comment>
    <comment ref="C13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статистика</t>
        </r>
      </text>
    </comment>
    <comment ref="E13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данные ПТЭ</t>
        </r>
      </text>
    </comment>
    <comment ref="F13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1,03</t>
        </r>
      </text>
    </comment>
    <comment ref="G13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1,04</t>
        </r>
      </text>
    </comment>
    <comment ref="D26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с учетом ицп</t>
        </r>
      </text>
    </comment>
    <comment ref="C101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оценка эфф-ти</t>
        </r>
      </text>
    </comment>
    <comment ref="D101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оценка эфф-ти</t>
        </r>
      </text>
    </comment>
    <comment ref="K102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образование</t>
        </r>
      </text>
    </comment>
    <comment ref="C9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стат</t>
        </r>
      </text>
    </comment>
    <comment ref="E9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дпм</t>
        </r>
      </text>
    </comment>
    <comment ref="H9" authorId="0">
      <text>
        <r>
          <rPr>
            <b/>
            <sz val="9"/>
            <rFont val="Tahoma"/>
            <family val="2"/>
          </rPr>
          <t>на ицп 1,048</t>
        </r>
      </text>
    </comment>
    <comment ref="I9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на ицп 1,043</t>
        </r>
      </text>
    </comment>
    <comment ref="J9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на ицп 1,05
</t>
        </r>
      </text>
    </comment>
    <comment ref="D11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с учетом ицп</t>
        </r>
      </text>
    </comment>
    <comment ref="E40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506,13 птэ+185 кэс</t>
        </r>
      </text>
    </comment>
    <comment ref="G40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526,37+187</t>
        </r>
      </text>
    </comment>
    <comment ref="I40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547,43+190</t>
        </r>
      </text>
    </comment>
    <comment ref="K40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под  рост % в сопост.ценах</t>
        </r>
      </text>
    </comment>
    <comment ref="G106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605+3800 - два дома 1900 кв.м арендное жилье</t>
        </r>
      </text>
    </comment>
  </commentList>
</comments>
</file>

<file path=xl/sharedStrings.xml><?xml version="1.0" encoding="utf-8"?>
<sst xmlns="http://schemas.openxmlformats.org/spreadsheetml/2006/main" count="461" uniqueCount="172">
  <si>
    <t>в том числе:</t>
  </si>
  <si>
    <t>% к предыдущему году в сопоставимых ценах</t>
  </si>
  <si>
    <t>%</t>
  </si>
  <si>
    <t>тыс. чел.</t>
  </si>
  <si>
    <t>млн. рублей</t>
  </si>
  <si>
    <t>руб.</t>
  </si>
  <si>
    <t xml:space="preserve"> 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</si>
  <si>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</si>
  <si>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</si>
  <si>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</si>
  <si>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</si>
  <si>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</si>
  <si>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</si>
  <si>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</si>
  <si>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</si>
  <si>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</si>
  <si>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</si>
  <si>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</si>
  <si>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</si>
  <si>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</si>
  <si>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</si>
  <si>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</si>
  <si>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</si>
  <si>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</si>
  <si>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</si>
  <si>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</si>
  <si>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</si>
  <si>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</si>
  <si>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</si>
  <si>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</si>
  <si>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тыс. человек</t>
  </si>
  <si>
    <t>мест на 1000 детей в возрасте 1-6 лет</t>
  </si>
  <si>
    <t>Показатели</t>
  </si>
  <si>
    <t>Единица измерения</t>
  </si>
  <si>
    <t>вариант 1</t>
  </si>
  <si>
    <t>вариант 2</t>
  </si>
  <si>
    <t>1. Население</t>
  </si>
  <si>
    <t>% к предыдущему году</t>
  </si>
  <si>
    <t>Коэффициент миграционного прироста</t>
  </si>
  <si>
    <t>Отчетный период</t>
  </si>
  <si>
    <t>Текущий год</t>
  </si>
  <si>
    <t>Численность постоянного населения (среднегодовая) - всего</t>
  </si>
  <si>
    <t>в % к предыдущему году</t>
  </si>
  <si>
    <t>Ожидаемая продолжительность жизни при рождении</t>
  </si>
  <si>
    <t>число лет</t>
  </si>
  <si>
    <t>Количество родившихся</t>
  </si>
  <si>
    <t>Общий коэффициент рождаемости</t>
  </si>
  <si>
    <t>человек на 1000 населения</t>
  </si>
  <si>
    <t>Количество умерших</t>
  </si>
  <si>
    <t>Общий коэффициент смертности</t>
  </si>
  <si>
    <t>Естественный прирост (+), убыль (-)</t>
  </si>
  <si>
    <t>Коэффициент естественного прироста</t>
  </si>
  <si>
    <t>Миграция населения</t>
  </si>
  <si>
    <t>Миграционный прирост (+), снижение (-)</t>
  </si>
  <si>
    <t>человек на  1000 населения</t>
  </si>
  <si>
    <t>2. Денежные доходы и расходы населения</t>
  </si>
  <si>
    <t>Доходы - всего</t>
  </si>
  <si>
    <t>Реальные располагаемые денежные доходы населения</t>
  </si>
  <si>
    <t>Денежные доходы в расчете на душу населения в месяц</t>
  </si>
  <si>
    <t>рублей</t>
  </si>
  <si>
    <t>Фонд начисленной заработной платы всех работников (по полному кругу)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</si>
  <si>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</si>
  <si>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</si>
  <si>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</si>
  <si>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Численность населения с  денежными доходами  ниже величины прожиточного минимума (по полному кругу)</t>
  </si>
  <si>
    <t>в % ко всему населению</t>
  </si>
  <si>
    <t>Среднемесячная заработная плата одного работника по крупным и средним предприятиям</t>
  </si>
  <si>
    <t xml:space="preserve">3. Трудовые ресурсы </t>
  </si>
  <si>
    <t>Среднесписочная численность работников (без внешних совместителей) по полному кругу</t>
  </si>
  <si>
    <t>Численность работников, предполагаемых к увольнению  с градообразующего предприятия</t>
  </si>
  <si>
    <t>человек</t>
  </si>
  <si>
    <t>4. Занятость населения</t>
  </si>
  <si>
    <t>Численность населения в трудоспособном возрасте</t>
  </si>
  <si>
    <t xml:space="preserve">Общая численность безработных </t>
  </si>
  <si>
    <t>Численность безработных, зарегистрированных в органах государственной службы занятости</t>
  </si>
  <si>
    <t>Уровень общей безработицы (отношение общей численности безработных к экономически активному населению)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</si>
  <si>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</si>
  <si>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в % к предыдущему году в сопоставимых ценах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</si>
  <si>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по крупным и средним предприятиям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</si>
  <si>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</si>
  <si>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</si>
  <si>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</si>
  <si>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Ввод в эксплуатацию жилых домов</t>
  </si>
  <si>
    <t>кв. м</t>
  </si>
  <si>
    <t>Инвестиции в основной капитал за счет всех источников финансирования</t>
  </si>
  <si>
    <t xml:space="preserve">Индекс физического объема инвестиций в основной капитал 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</si>
  <si>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</si>
  <si>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</si>
  <si>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</si>
  <si>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        прибыль</t>
  </si>
  <si>
    <t xml:space="preserve">          амортизация</t>
  </si>
  <si>
    <t xml:space="preserve">  Привлеченные средства</t>
  </si>
  <si>
    <t xml:space="preserve">          кредиты банков,</t>
  </si>
  <si>
    <t xml:space="preserve">    в т.ч. кредиты иностранных банков</t>
  </si>
  <si>
    <t xml:space="preserve">   заемные средства других организаций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</si>
  <si>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</si>
  <si>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</si>
  <si>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</si>
  <si>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</si>
  <si>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</si>
  <si>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</si>
  <si>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</si>
  <si>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учрежд. на 100 тыс.населения</t>
  </si>
  <si>
    <t>на конец года; тыс. чел.</t>
  </si>
  <si>
    <t xml:space="preserve">Прогноз социально-экономического развития Дальнегорского городского округа  </t>
  </si>
  <si>
    <t>млн. руб.</t>
  </si>
  <si>
    <t>5. Промышленность</t>
  </si>
  <si>
    <t>6. Муниципальная собственность</t>
  </si>
  <si>
    <t xml:space="preserve">7. Инвестиции </t>
  </si>
  <si>
    <t>8. Развитие социальной сферы</t>
  </si>
  <si>
    <t xml:space="preserve"> в ценах соответствующих лет, млн. рублей</t>
  </si>
  <si>
    <t>Приложение</t>
  </si>
  <si>
    <t>к постановлению администрации</t>
  </si>
  <si>
    <t xml:space="preserve">Дальнегорского гоородского округа </t>
  </si>
  <si>
    <t>от_______________    №_________</t>
  </si>
  <si>
    <t>Доходы от использования  имущества, находящегося в  государственной и муниципальной собственности</t>
  </si>
  <si>
    <t>Доходы от продажи материальных и нематериальных активов</t>
  </si>
  <si>
    <t>дефлятор</t>
  </si>
  <si>
    <t xml:space="preserve"> объем в СЦ</t>
  </si>
  <si>
    <t>% СЦ</t>
  </si>
  <si>
    <t xml:space="preserve">на 2021 год и плановый период  2022 и 2023 годов </t>
  </si>
  <si>
    <t>эконом. активное</t>
  </si>
  <si>
    <t>Уровень общ.</t>
  </si>
  <si>
    <t>койки</t>
  </si>
  <si>
    <t>цгб</t>
  </si>
  <si>
    <t>псих</t>
  </si>
  <si>
    <t>численность</t>
  </si>
  <si>
    <t>койкит на 10000</t>
  </si>
  <si>
    <t>библиотеки</t>
  </si>
  <si>
    <t>на 100 тыс. человек</t>
  </si>
  <si>
    <t>на 10 тыс человек</t>
  </si>
  <si>
    <t>обеспеченность</t>
  </si>
  <si>
    <t>клубные</t>
  </si>
  <si>
    <t>врачи всех специальностей</t>
  </si>
  <si>
    <t>Посещений в смену</t>
  </si>
  <si>
    <t>на 10000 чел</t>
  </si>
  <si>
    <t>на 1000 чел</t>
  </si>
  <si>
    <t>дпм</t>
  </si>
  <si>
    <t>гок</t>
  </si>
  <si>
    <t>КЭС</t>
  </si>
  <si>
    <t>Городская среда</t>
  </si>
  <si>
    <t>Культура</t>
  </si>
  <si>
    <t>обеспеченность ДУ</t>
  </si>
  <si>
    <t>Обеспеченность дошкольными образовательными учреждениями</t>
  </si>
  <si>
    <t>мест</t>
  </si>
  <si>
    <t>Итого предприятия</t>
  </si>
  <si>
    <t>уб. 1 класс</t>
  </si>
  <si>
    <t>родилось, прогноз</t>
  </si>
  <si>
    <t>здравоохранение</t>
  </si>
  <si>
    <t>мсп</t>
  </si>
  <si>
    <t>индекс дефлятор</t>
  </si>
  <si>
    <t>производство и распределение электроэнергии</t>
  </si>
  <si>
    <t>водоснабжение, врдоотведение</t>
  </si>
  <si>
    <t>*</t>
  </si>
  <si>
    <t>единица измерения</t>
  </si>
  <si>
    <t>отчетный год,         2019</t>
  </si>
  <si>
    <t>текущий год,   2020</t>
  </si>
  <si>
    <t>прогнозный период</t>
  </si>
  <si>
    <t>Индекс потебительских цен на товары</t>
  </si>
  <si>
    <t>Среднемесячная заработная плата 1 работника по полному кругу</t>
  </si>
  <si>
    <t>Величина прожиточного минимума (в среднем на душу населения)</t>
  </si>
  <si>
    <t>кв.м</t>
  </si>
  <si>
    <t>техника</t>
  </si>
  <si>
    <t>психоневро</t>
  </si>
  <si>
    <t>прочие</t>
  </si>
  <si>
    <t>предприниматели</t>
  </si>
  <si>
    <t>прибыло, тыс. человек</t>
  </si>
  <si>
    <t>выбыло,тыс. человек</t>
  </si>
  <si>
    <t>прибыло,в % к предыдущему году</t>
  </si>
  <si>
    <t>выбыло,в % к предыдущему году</t>
  </si>
  <si>
    <t>плановый период</t>
  </si>
  <si>
    <t>в 2021 +70,0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</si>
</sst>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#,##0.000"/>
    <numFmt numFmtId="175" formatCode="0.0000"/>
    <numFmt numFmtId="176" formatCode="0.00000"/>
    <numFmt numFmtId="177" formatCode="#,##0.0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"/>
    <numFmt numFmtId="185" formatCode="0.00000000"/>
    <numFmt numFmtId="186" formatCode="0.0000000000"/>
    <numFmt numFmtId="187" formatCode="0.000000000"/>
    <numFmt numFmtId="188" formatCode="_-* #,##0\ _₽_-;\-* #,##0\ _₽_-;_-* &quot;-&quot;??\ _₽_-;_-@_-"/>
    <numFmt numFmtId="189" formatCode="#,##0_ ;\-#,##0\ "/>
  </numFmts>
  <fonts count="91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i/>
      <sz val="14"/>
      <name val="Times New Roman"/>
      <family val="1"/>
    </font>
    <font>
      <sz val="9"/>
      <name val="Arial Cyr"/>
      <family val="2"/>
    </font>
    <font>
      <sz val="10"/>
      <color indexed="10"/>
      <name val="Arial Cyr"/>
      <family val="0"/>
    </font>
    <font>
      <b/>
      <sz val="16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sz val="13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Arial Cyr"/>
      <family val="0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9"/>
      <color theme="1"/>
      <name val="Arial Cyr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sz val="10"/>
      <color theme="4" tint="-0.24997000396251678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Arial Cyr"/>
      <family val="0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Alignment="1">
      <alignment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 applyProtection="1">
      <alignment horizontal="left" vertical="center" wrapText="1" shrinkToFit="1"/>
      <protection/>
    </xf>
    <xf numFmtId="0" fontId="12" fillId="0" borderId="10" xfId="0" applyFont="1" applyFill="1" applyBorder="1" applyAlignment="1" applyProtection="1">
      <alignment horizontal="left" vertical="center" wrapText="1" shrinkToFi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3" fillId="33" borderId="10" xfId="0" applyFont="1" applyFill="1" applyBorder="1" applyAlignment="1" applyProtection="1">
      <alignment horizontal="left" vertical="center" wrapText="1" shrinkToFit="1"/>
      <protection/>
    </xf>
    <xf numFmtId="0" fontId="4" fillId="0" borderId="13" xfId="0" applyFont="1" applyFill="1" applyBorder="1" applyAlignment="1" applyProtection="1">
      <alignment horizontal="left" vertical="center" wrapText="1" shrinkToFi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 shrinkToFit="1"/>
      <protection/>
    </xf>
    <xf numFmtId="0" fontId="4" fillId="0" borderId="0" xfId="0" applyFont="1" applyFill="1" applyBorder="1" applyAlignment="1" applyProtection="1">
      <alignment horizontal="right" wrapText="1" shrinkToFit="1"/>
      <protection/>
    </xf>
    <xf numFmtId="0" fontId="3" fillId="0" borderId="14" xfId="0" applyFont="1" applyFill="1" applyBorder="1" applyAlignment="1" applyProtection="1">
      <alignment horizontal="left" vertical="center" wrapText="1" shrinkToFi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 wrapText="1"/>
    </xf>
    <xf numFmtId="0" fontId="76" fillId="0" borderId="10" xfId="0" applyFont="1" applyFill="1" applyBorder="1" applyAlignment="1" applyProtection="1">
      <alignment horizontal="centerContinuous"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0" fontId="77" fillId="0" borderId="10" xfId="0" applyFont="1" applyFill="1" applyBorder="1" applyAlignment="1" applyProtection="1">
      <alignment horizontal="center" vertical="center" wrapText="1"/>
      <protection/>
    </xf>
    <xf numFmtId="4" fontId="7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3" xfId="0" applyFont="1" applyFill="1" applyBorder="1" applyAlignment="1" applyProtection="1">
      <alignment horizontal="center" vertical="center" wrapText="1"/>
      <protection/>
    </xf>
    <xf numFmtId="4" fontId="7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Border="1" applyAlignment="1" applyProtection="1">
      <alignment horizontal="center" vertical="center" wrapText="1"/>
      <protection/>
    </xf>
    <xf numFmtId="4" fontId="7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4" xfId="0" applyFont="1" applyFill="1" applyBorder="1" applyAlignment="1" applyProtection="1">
      <alignment horizontal="center" vertical="center" wrapText="1"/>
      <protection/>
    </xf>
    <xf numFmtId="4" fontId="7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7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Border="1" applyAlignment="1">
      <alignment horizontal="center" vertical="center"/>
    </xf>
    <xf numFmtId="172" fontId="77" fillId="0" borderId="0" xfId="0" applyNumberFormat="1" applyFont="1" applyFill="1" applyBorder="1" applyAlignment="1">
      <alignment/>
    </xf>
    <xf numFmtId="172" fontId="7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 shrinkToFit="1"/>
    </xf>
    <xf numFmtId="4" fontId="77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4" fillId="0" borderId="0" xfId="0" applyFont="1" applyFill="1" applyBorder="1" applyAlignment="1">
      <alignment/>
    </xf>
    <xf numFmtId="3" fontId="7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Border="1" applyAlignment="1">
      <alignment horizontal="center" vertical="center" wrapText="1" shrinkToFit="1"/>
    </xf>
    <xf numFmtId="4" fontId="78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78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>
      <alignment horizontal="center"/>
    </xf>
    <xf numFmtId="2" fontId="77" fillId="0" borderId="0" xfId="0" applyNumberFormat="1" applyFont="1" applyFill="1" applyBorder="1" applyAlignment="1" applyProtection="1">
      <alignment horizontal="center"/>
      <protection locked="0"/>
    </xf>
    <xf numFmtId="172" fontId="77" fillId="0" borderId="0" xfId="0" applyNumberFormat="1" applyFont="1" applyFill="1" applyBorder="1" applyAlignment="1" applyProtection="1">
      <alignment horizontal="center"/>
      <protection locked="0"/>
    </xf>
    <xf numFmtId="2" fontId="77" fillId="0" borderId="0" xfId="0" applyNumberFormat="1" applyFont="1" applyFill="1" applyBorder="1" applyAlignment="1">
      <alignment horizontal="center"/>
    </xf>
    <xf numFmtId="172" fontId="77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 applyProtection="1">
      <alignment horizontal="center" vertical="center" wrapText="1"/>
      <protection/>
    </xf>
    <xf numFmtId="172" fontId="77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80" fillId="0" borderId="10" xfId="0" applyNumberFormat="1" applyFont="1" applyFill="1" applyBorder="1" applyAlignment="1" applyProtection="1">
      <alignment horizontal="center" vertical="center" wrapText="1"/>
      <protection/>
    </xf>
    <xf numFmtId="2" fontId="8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2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vertical="center" wrapText="1"/>
    </xf>
    <xf numFmtId="2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81" fillId="0" borderId="0" xfId="0" applyFont="1" applyAlignment="1">
      <alignment/>
    </xf>
    <xf numFmtId="2" fontId="82" fillId="34" borderId="10" xfId="0" applyNumberFormat="1" applyFont="1" applyFill="1" applyBorder="1" applyAlignment="1" applyProtection="1">
      <alignment horizontal="center" vertical="center" wrapText="1"/>
      <protection/>
    </xf>
    <xf numFmtId="2" fontId="82" fillId="34" borderId="14" xfId="0" applyNumberFormat="1" applyFont="1" applyFill="1" applyBorder="1" applyAlignment="1" applyProtection="1">
      <alignment horizontal="center" vertical="center" wrapText="1"/>
      <protection/>
    </xf>
    <xf numFmtId="2" fontId="82" fillId="34" borderId="15" xfId="0" applyNumberFormat="1" applyFont="1" applyFill="1" applyBorder="1" applyAlignment="1" applyProtection="1">
      <alignment horizontal="center" vertical="center" wrapText="1"/>
      <protection/>
    </xf>
    <xf numFmtId="0" fontId="83" fillId="0" borderId="0" xfId="0" applyFont="1" applyAlignment="1">
      <alignment/>
    </xf>
    <xf numFmtId="178" fontId="0" fillId="0" borderId="0" xfId="0" applyNumberFormat="1" applyAlignment="1">
      <alignment/>
    </xf>
    <xf numFmtId="0" fontId="74" fillId="35" borderId="10" xfId="0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1" fillId="0" borderId="0" xfId="0" applyFont="1" applyFill="1" applyAlignment="1">
      <alignment/>
    </xf>
    <xf numFmtId="175" fontId="0" fillId="0" borderId="0" xfId="0" applyNumberFormat="1" applyAlignment="1">
      <alignment/>
    </xf>
    <xf numFmtId="2" fontId="80" fillId="0" borderId="0" xfId="0" applyNumberFormat="1" applyFont="1" applyAlignment="1">
      <alignment horizontal="center"/>
    </xf>
    <xf numFmtId="0" fontId="15" fillId="0" borderId="11" xfId="53" applyFont="1" applyBorder="1" applyAlignment="1">
      <alignment horizontal="left" vertical="center" wrapText="1"/>
      <protection/>
    </xf>
    <xf numFmtId="0" fontId="15" fillId="0" borderId="16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24" fillId="0" borderId="12" xfId="53" applyFont="1" applyBorder="1" applyAlignment="1">
      <alignment vertical="top" wrapText="1"/>
      <protection/>
    </xf>
    <xf numFmtId="0" fontId="25" fillId="0" borderId="0" xfId="53" applyFont="1" applyFill="1" applyBorder="1" applyAlignment="1">
      <alignment vertical="center" wrapText="1"/>
      <protection/>
    </xf>
    <xf numFmtId="0" fontId="0" fillId="0" borderId="13" xfId="0" applyBorder="1" applyAlignment="1">
      <alignment/>
    </xf>
    <xf numFmtId="0" fontId="83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0" xfId="0" applyBorder="1" applyAlignment="1">
      <alignment/>
    </xf>
    <xf numFmtId="0" fontId="81" fillId="0" borderId="0" xfId="0" applyFont="1" applyBorder="1" applyAlignment="1">
      <alignment/>
    </xf>
    <xf numFmtId="0" fontId="0" fillId="0" borderId="18" xfId="0" applyBorder="1" applyAlignment="1">
      <alignment/>
    </xf>
    <xf numFmtId="0" fontId="8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Border="1" applyAlignment="1">
      <alignment/>
    </xf>
    <xf numFmtId="4" fontId="84" fillId="36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/>
    </xf>
    <xf numFmtId="174" fontId="19" fillId="0" borderId="0" xfId="0" applyNumberFormat="1" applyFont="1" applyBorder="1" applyAlignment="1">
      <alignment/>
    </xf>
    <xf numFmtId="0" fontId="22" fillId="0" borderId="10" xfId="0" applyFont="1" applyFill="1" applyBorder="1" applyAlignment="1" applyProtection="1">
      <alignment horizontal="left" vertical="center" wrapText="1" shrinkToFi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188" fontId="27" fillId="0" borderId="11" xfId="62" applyNumberFormat="1" applyFont="1" applyFill="1" applyBorder="1" applyAlignment="1" applyProtection="1">
      <alignment horizontal="right"/>
      <protection locked="0"/>
    </xf>
    <xf numFmtId="188" fontId="0" fillId="0" borderId="11" xfId="62" applyNumberFormat="1" applyFont="1" applyFill="1" applyBorder="1" applyAlignment="1" applyProtection="1">
      <alignment horizontal="right"/>
      <protection locked="0"/>
    </xf>
    <xf numFmtId="0" fontId="17" fillId="0" borderId="10" xfId="0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188" fontId="27" fillId="35" borderId="10" xfId="62" applyNumberFormat="1" applyFont="1" applyFill="1" applyBorder="1" applyAlignment="1" applyProtection="1">
      <alignment horizontal="right"/>
      <protection locked="0"/>
    </xf>
    <xf numFmtId="188" fontId="0" fillId="35" borderId="10" xfId="62" applyNumberFormat="1" applyFont="1" applyFill="1" applyBorder="1" applyAlignment="1" applyProtection="1">
      <alignment horizontal="right"/>
      <protection locked="0"/>
    </xf>
    <xf numFmtId="4" fontId="0" fillId="0" borderId="0" xfId="0" applyNumberFormat="1" applyAlignment="1">
      <alignment/>
    </xf>
    <xf numFmtId="188" fontId="27" fillId="0" borderId="10" xfId="62" applyNumberFormat="1" applyFont="1" applyFill="1" applyBorder="1" applyAlignment="1" applyProtection="1">
      <alignment horizontal="right"/>
      <protection locked="0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189" fontId="27" fillId="0" borderId="11" xfId="62" applyNumberFormat="1" applyFont="1" applyFill="1" applyBorder="1" applyAlignment="1" applyProtection="1">
      <alignment horizontal="right"/>
      <protection locked="0"/>
    </xf>
    <xf numFmtId="4" fontId="83" fillId="0" borderId="0" xfId="0" applyNumberFormat="1" applyFont="1" applyBorder="1" applyAlignment="1">
      <alignment/>
    </xf>
    <xf numFmtId="174" fontId="83" fillId="0" borderId="0" xfId="0" applyNumberFormat="1" applyFont="1" applyBorder="1" applyAlignment="1">
      <alignment/>
    </xf>
    <xf numFmtId="2" fontId="81" fillId="0" borderId="0" xfId="0" applyNumberFormat="1" applyFont="1" applyAlignment="1">
      <alignment/>
    </xf>
    <xf numFmtId="178" fontId="83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0" fillId="0" borderId="10" xfId="53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15" fillId="0" borderId="10" xfId="53" applyFont="1" applyBorder="1" applyAlignment="1">
      <alignment horizontal="left" vertical="center" wrapText="1"/>
      <protection/>
    </xf>
    <xf numFmtId="4" fontId="0" fillId="0" borderId="10" xfId="0" applyNumberFormat="1" applyBorder="1" applyAlignment="1">
      <alignment/>
    </xf>
    <xf numFmtId="4" fontId="81" fillId="0" borderId="10" xfId="0" applyNumberFormat="1" applyFont="1" applyBorder="1" applyAlignment="1">
      <alignment/>
    </xf>
    <xf numFmtId="0" fontId="15" fillId="0" borderId="12" xfId="53" applyFont="1" applyBorder="1" applyAlignment="1">
      <alignment horizontal="center" vertical="center" wrapText="1"/>
      <protection/>
    </xf>
    <xf numFmtId="174" fontId="0" fillId="37" borderId="0" xfId="0" applyNumberFormat="1" applyFill="1" applyAlignment="1">
      <alignment/>
    </xf>
    <xf numFmtId="0" fontId="83" fillId="37" borderId="0" xfId="0" applyFont="1" applyFill="1" applyBorder="1" applyAlignment="1">
      <alignment/>
    </xf>
    <xf numFmtId="0" fontId="81" fillId="37" borderId="0" xfId="0" applyFont="1" applyFill="1" applyBorder="1" applyAlignment="1">
      <alignment/>
    </xf>
    <xf numFmtId="174" fontId="83" fillId="37" borderId="0" xfId="0" applyNumberFormat="1" applyFont="1" applyFill="1" applyBorder="1" applyAlignment="1">
      <alignment/>
    </xf>
    <xf numFmtId="4" fontId="0" fillId="37" borderId="0" xfId="0" applyNumberFormat="1" applyFill="1" applyAlignment="1">
      <alignment/>
    </xf>
    <xf numFmtId="174" fontId="81" fillId="0" borderId="0" xfId="0" applyNumberFormat="1" applyFont="1" applyAlignment="1">
      <alignment/>
    </xf>
    <xf numFmtId="17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9" borderId="10" xfId="0" applyFont="1" applyFill="1" applyBorder="1" applyAlignment="1">
      <alignment/>
    </xf>
    <xf numFmtId="2" fontId="83" fillId="0" borderId="10" xfId="0" applyNumberFormat="1" applyFont="1" applyBorder="1" applyAlignment="1">
      <alignment horizontal="center"/>
    </xf>
    <xf numFmtId="178" fontId="81" fillId="0" borderId="10" xfId="0" applyNumberFormat="1" applyFont="1" applyBorder="1" applyAlignment="1">
      <alignment/>
    </xf>
    <xf numFmtId="178" fontId="81" fillId="0" borderId="10" xfId="0" applyNumberFormat="1" applyFont="1" applyFill="1" applyBorder="1" applyAlignment="1">
      <alignment/>
    </xf>
    <xf numFmtId="0" fontId="81" fillId="0" borderId="10" xfId="0" applyFont="1" applyFill="1" applyBorder="1" applyAlignment="1">
      <alignment/>
    </xf>
    <xf numFmtId="2" fontId="83" fillId="0" borderId="10" xfId="0" applyNumberFormat="1" applyFont="1" applyFill="1" applyBorder="1" applyAlignment="1">
      <alignment horizontal="center"/>
    </xf>
    <xf numFmtId="2" fontId="83" fillId="0" borderId="10" xfId="0" applyNumberFormat="1" applyFont="1" applyBorder="1" applyAlignment="1">
      <alignment/>
    </xf>
    <xf numFmtId="2" fontId="82" fillId="34" borderId="11" xfId="0" applyNumberFormat="1" applyFont="1" applyFill="1" applyBorder="1" applyAlignment="1" applyProtection="1">
      <alignment horizontal="center" vertical="center" wrapText="1"/>
      <protection/>
    </xf>
    <xf numFmtId="2" fontId="85" fillId="0" borderId="10" xfId="0" applyNumberFormat="1" applyFont="1" applyBorder="1" applyAlignment="1">
      <alignment horizontal="center"/>
    </xf>
    <xf numFmtId="178" fontId="81" fillId="0" borderId="10" xfId="0" applyNumberFormat="1" applyFont="1" applyBorder="1" applyAlignment="1">
      <alignment horizontal="center"/>
    </xf>
    <xf numFmtId="178" fontId="81" fillId="0" borderId="10" xfId="0" applyNumberFormat="1" applyFont="1" applyFill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1" fillId="10" borderId="10" xfId="0" applyFont="1" applyFill="1" applyBorder="1" applyAlignment="1">
      <alignment/>
    </xf>
    <xf numFmtId="0" fontId="83" fillId="10" borderId="10" xfId="0" applyFont="1" applyFill="1" applyBorder="1" applyAlignment="1">
      <alignment/>
    </xf>
    <xf numFmtId="2" fontId="83" fillId="0" borderId="1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2" fontId="17" fillId="35" borderId="10" xfId="0" applyNumberFormat="1" applyFont="1" applyFill="1" applyBorder="1" applyAlignment="1" applyProtection="1">
      <alignment horizontal="center" vertical="center" wrapText="1"/>
      <protection/>
    </xf>
    <xf numFmtId="0" fontId="83" fillId="35" borderId="10" xfId="0" applyFont="1" applyFill="1" applyBorder="1" applyAlignment="1">
      <alignment horizontal="center"/>
    </xf>
    <xf numFmtId="0" fontId="7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178" fontId="81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0" fontId="0" fillId="0" borderId="19" xfId="0" applyBorder="1" applyAlignment="1">
      <alignment horizontal="center"/>
    </xf>
    <xf numFmtId="0" fontId="76" fillId="0" borderId="0" xfId="0" applyFont="1" applyFill="1" applyBorder="1" applyAlignment="1" applyProtection="1">
      <alignment horizontal="centerContinuous" vertical="center" wrapText="1"/>
      <protection/>
    </xf>
    <xf numFmtId="0" fontId="76" fillId="0" borderId="0" xfId="0" applyFont="1" applyFill="1" applyBorder="1" applyAlignment="1" applyProtection="1">
      <alignment horizontal="center" vertical="center" wrapText="1"/>
      <protection/>
    </xf>
    <xf numFmtId="2" fontId="8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Fill="1" applyBorder="1" applyAlignment="1">
      <alignment horizontal="center"/>
    </xf>
    <xf numFmtId="2" fontId="80" fillId="0" borderId="0" xfId="0" applyNumberFormat="1" applyFont="1" applyFill="1" applyBorder="1" applyAlignment="1" applyProtection="1">
      <alignment horizontal="center" vertical="center" wrapText="1"/>
      <protection/>
    </xf>
    <xf numFmtId="172" fontId="8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80" fillId="0" borderId="0" xfId="0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 vertical="center"/>
    </xf>
    <xf numFmtId="172" fontId="80" fillId="0" borderId="0" xfId="0" applyNumberFormat="1" applyFont="1" applyFill="1" applyBorder="1" applyAlignment="1" applyProtection="1">
      <alignment horizontal="center" vertical="center" wrapText="1"/>
      <protection/>
    </xf>
    <xf numFmtId="0" fontId="86" fillId="0" borderId="0" xfId="0" applyFont="1" applyFill="1" applyBorder="1" applyAlignment="1">
      <alignment horizontal="center"/>
    </xf>
    <xf numFmtId="1" fontId="80" fillId="0" borderId="0" xfId="0" applyNumberFormat="1" applyFont="1" applyFill="1" applyBorder="1" applyAlignment="1" applyProtection="1">
      <alignment horizontal="center" vertical="center" wrapText="1"/>
      <protection/>
    </xf>
    <xf numFmtId="1" fontId="80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80" fillId="0" borderId="0" xfId="0" applyNumberFormat="1" applyFont="1" applyBorder="1" applyAlignment="1">
      <alignment horizontal="center" vertical="center"/>
    </xf>
    <xf numFmtId="2" fontId="85" fillId="0" borderId="0" xfId="0" applyNumberFormat="1" applyFont="1" applyFill="1" applyBorder="1" applyAlignment="1">
      <alignment horizontal="center"/>
    </xf>
    <xf numFmtId="2" fontId="80" fillId="0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2" fontId="80" fillId="0" borderId="0" xfId="64" applyNumberFormat="1" applyFont="1" applyFill="1" applyBorder="1" applyAlignment="1" applyProtection="1">
      <alignment horizontal="center" vertical="center" wrapText="1"/>
      <protection/>
    </xf>
    <xf numFmtId="17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80" fillId="0" borderId="0" xfId="0" applyNumberFormat="1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86" fillId="0" borderId="16" xfId="0" applyFont="1" applyFill="1" applyBorder="1" applyAlignment="1">
      <alignment horizontal="center"/>
    </xf>
    <xf numFmtId="178" fontId="81" fillId="0" borderId="16" xfId="0" applyNumberFormat="1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2" fontId="83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2" fontId="82" fillId="34" borderId="16" xfId="0" applyNumberFormat="1" applyFont="1" applyFill="1" applyBorder="1" applyAlignment="1" applyProtection="1">
      <alignment horizontal="center" vertical="center" wrapText="1"/>
      <protection/>
    </xf>
    <xf numFmtId="0" fontId="81" fillId="9" borderId="16" xfId="0" applyFont="1" applyFill="1" applyBorder="1" applyAlignment="1">
      <alignment/>
    </xf>
    <xf numFmtId="0" fontId="81" fillId="0" borderId="16" xfId="0" applyFont="1" applyBorder="1" applyAlignment="1">
      <alignment/>
    </xf>
    <xf numFmtId="178" fontId="81" fillId="0" borderId="16" xfId="0" applyNumberFormat="1" applyFont="1" applyBorder="1" applyAlignment="1">
      <alignment/>
    </xf>
    <xf numFmtId="0" fontId="83" fillId="10" borderId="16" xfId="0" applyFont="1" applyFill="1" applyBorder="1" applyAlignment="1">
      <alignment/>
    </xf>
    <xf numFmtId="2" fontId="83" fillId="0" borderId="16" xfId="0" applyNumberFormat="1" applyFont="1" applyBorder="1" applyAlignment="1">
      <alignment/>
    </xf>
    <xf numFmtId="2" fontId="83" fillId="0" borderId="16" xfId="0" applyNumberFormat="1" applyFont="1" applyFill="1" applyBorder="1" applyAlignment="1">
      <alignment/>
    </xf>
    <xf numFmtId="2" fontId="83" fillId="0" borderId="10" xfId="0" applyNumberFormat="1" applyFont="1" applyBorder="1" applyAlignment="1">
      <alignment/>
    </xf>
    <xf numFmtId="0" fontId="83" fillId="0" borderId="10" xfId="0" applyFont="1" applyBorder="1" applyAlignment="1">
      <alignment/>
    </xf>
    <xf numFmtId="2" fontId="17" fillId="35" borderId="10" xfId="0" applyNumberFormat="1" applyFont="1" applyFill="1" applyBorder="1" applyAlignment="1" applyProtection="1">
      <alignment horizontal="center" vertical="center" wrapText="1"/>
      <protection/>
    </xf>
    <xf numFmtId="2" fontId="85" fillId="0" borderId="10" xfId="0" applyNumberFormat="1" applyFont="1" applyFill="1" applyBorder="1" applyAlignment="1" applyProtection="1">
      <alignment horizontal="center" vertical="center" wrapText="1"/>
      <protection/>
    </xf>
    <xf numFmtId="2" fontId="87" fillId="0" borderId="16" xfId="0" applyNumberFormat="1" applyFont="1" applyFill="1" applyBorder="1" applyAlignment="1">
      <alignment horizontal="center" vertical="center"/>
    </xf>
    <xf numFmtId="2" fontId="88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178" fontId="17" fillId="0" borderId="10" xfId="0" applyNumberFormat="1" applyFont="1" applyBorder="1" applyAlignment="1">
      <alignment horizontal="center"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17" fillId="0" borderId="10" xfId="0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2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188" fontId="81" fillId="0" borderId="11" xfId="62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64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 shrinkToFit="1"/>
    </xf>
    <xf numFmtId="2" fontId="4" fillId="0" borderId="0" xfId="0" applyNumberFormat="1" applyFont="1" applyAlignment="1">
      <alignment horizontal="center"/>
    </xf>
    <xf numFmtId="17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 vertical="center" wrapText="1"/>
      <protection/>
    </xf>
    <xf numFmtId="172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center" vertical="center"/>
    </xf>
    <xf numFmtId="2" fontId="89" fillId="0" borderId="0" xfId="0" applyNumberFormat="1" applyFont="1" applyFill="1" applyBorder="1" applyAlignment="1">
      <alignment horizontal="center" vertical="center"/>
    </xf>
    <xf numFmtId="0" fontId="15" fillId="0" borderId="0" xfId="53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6" fillId="0" borderId="16" xfId="0" applyFont="1" applyFill="1" applyBorder="1" applyAlignment="1" applyProtection="1">
      <alignment horizontal="center" vertical="center" wrapText="1"/>
      <protection/>
    </xf>
    <xf numFmtId="0" fontId="76" fillId="0" borderId="21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>
      <alignment horizontal="center"/>
    </xf>
    <xf numFmtId="172" fontId="4" fillId="0" borderId="11" xfId="0" applyNumberFormat="1" applyFont="1" applyFill="1" applyBorder="1" applyAlignment="1" applyProtection="1">
      <alignment horizontal="center" vertical="center" wrapText="1"/>
      <protection/>
    </xf>
    <xf numFmtId="172" fontId="4" fillId="0" borderId="22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87;&#1088;&#1086;&#1075;&#1085;&#1086;&#1079;&#1072;%20&#1079;&#1072;%20%20&#1075;&#1086;&#1076;\&#1084;&#1086;&#1085;&#1080;&#1090;&#1086;&#1088;&#1080;&#1085;&#1075;%20&#1087;&#1088;&#1086;&#1075;&#1085;&#1086;&#1079;&#1072;%20-%20&#1091;&#1090;&#1086;&#1095;&#1085;&#1077;&#1085;&#108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4;&#1087;&#1088;&#1077;&#1082;&#1090;&#1099;%20&#1086;&#1090;&#1095;&#1077;&#1090;&#1099;\&#1053;&#1072;&#1094;&#1087;&#1088;&#1086;&#1077;&#1082;&#1090;&#1099;%20&#1085;&#1072;%2027.01.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&#1087;&#1088;&#1086;&#1075;&#1085;&#1086;&#1079;%202020-2022\&#1055;&#1088;&#1086;&#1075;&#1085;&#1086;&#1079;%20&#1073;&#1102;&#1076;&#1078;&#1077;&#1090;20-22\&#1060;&#1086;&#1088;&#1084;&#1072;%20&#1055;&#1088;&#1086;&#1075;&#1085;&#1086;&#1079;&#1072;%20&#1082;%2001.09.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&#1087;&#1088;&#1086;&#1075;&#1085;&#1086;&#1079;%202020-2022\&#1055;&#1088;&#1086;&#1075;&#1085;&#1086;&#1079;%20&#1073;&#1102;&#1076;&#1078;&#1077;&#1090;20-22\&#1074;&#1089;&#1087;&#1086;&#1084;&#1086;&#1075;&#1072;&#1090;&#1077;&#1083;&#1100;&#1085;&#1099;&#1077;%20&#1090;&#1072;&#1073;&#1083;&#1080;&#1094;&#1099;%20&#1084;&#1086;&#1085;&#1086;%20&#1076;&#1086;%202024%20&#1076;&#1083;&#1103;%20&#1084;&#1080;&#1085;&#1101;&#1082;&#1072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9;&#1087;&#1086;&#1084;&#1086;&#1075;&#1072;&#1090;&#1077;&#1083;&#1100;&#1085;&#1099;&#1077;%20&#1090;&#1072;&#1073;&#1083;&#1080;&#1094;&#1099;%20&#1084;&#1086;&#1085;&#1086;%20&#1076;&#1086;%20202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9;&#1087;&#1086;&#1084;&#1086;&#1075;&#1072;&#1090;&#1077;&#1083;&#1100;&#1085;&#1099;&#1077;%20&#1090;&#1072;&#1073;&#1083;&#1080;&#1094;&#1099;%20&#1084;&#1086;&#1085;&#1086;%20&#1076;&#1086;%202024%20&#1076;&#1083;&#1103;%20&#1084;&#1080;&#1085;&#1101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7">
          <cell r="C87">
            <v>2.235</v>
          </cell>
        </row>
        <row r="88">
          <cell r="C88">
            <v>4.628</v>
          </cell>
        </row>
        <row r="89">
          <cell r="C89">
            <v>4.628</v>
          </cell>
        </row>
        <row r="90">
          <cell r="C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C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>
            <v>0.6789999999999999</v>
          </cell>
          <cell r="E92">
            <v>0.78</v>
          </cell>
        </row>
        <row r="93">
          <cell r="C93">
            <v>0.6789999999999999</v>
          </cell>
          <cell r="E93">
            <v>0.78</v>
          </cell>
        </row>
        <row r="97">
          <cell r="C97">
            <v>0.1916</v>
          </cell>
          <cell r="E97">
            <v>0.099</v>
          </cell>
        </row>
        <row r="98">
          <cell r="C98">
            <v>0.009</v>
          </cell>
          <cell r="E9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ОТЧЕТНЫЙ ПЕРИОД)"/>
      <sheetName val="Приложение 2 (СВОД)"/>
      <sheetName val="Лист1"/>
    </sheetNames>
    <sheetDataSet>
      <sheetData sheetId="0">
        <row r="32">
          <cell r="G32">
            <v>11.9</v>
          </cell>
        </row>
        <row r="33">
          <cell r="G33">
            <v>-5.385</v>
          </cell>
        </row>
        <row r="91">
          <cell r="G91">
            <v>6.92</v>
          </cell>
        </row>
        <row r="92">
          <cell r="G92">
            <v>3.5</v>
          </cell>
        </row>
        <row r="95">
          <cell r="G95">
            <v>5.2122</v>
          </cell>
        </row>
        <row r="96">
          <cell r="G96">
            <v>0.2</v>
          </cell>
        </row>
        <row r="99">
          <cell r="G99">
            <v>7.354</v>
          </cell>
        </row>
        <row r="100">
          <cell r="G100">
            <v>0.227</v>
          </cell>
        </row>
        <row r="126">
          <cell r="G126">
            <v>42.2162</v>
          </cell>
        </row>
        <row r="127">
          <cell r="G127">
            <v>0.9269999999999999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"/>
      <sheetName val="Лист3"/>
    </sheetNames>
    <sheetDataSet>
      <sheetData sheetId="0">
        <row r="72">
          <cell r="E72">
            <v>520.821</v>
          </cell>
        </row>
        <row r="73">
          <cell r="E73">
            <v>69.55859697873437</v>
          </cell>
        </row>
        <row r="75">
          <cell r="E75">
            <v>471.782</v>
          </cell>
        </row>
        <row r="77">
          <cell r="E77">
            <v>152.896</v>
          </cell>
        </row>
        <row r="78">
          <cell r="E78">
            <v>318.886</v>
          </cell>
        </row>
        <row r="79">
          <cell r="E79">
            <v>49.039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0.395</v>
          </cell>
        </row>
        <row r="84">
          <cell r="E84">
            <v>47.316</v>
          </cell>
        </row>
        <row r="86">
          <cell r="E86">
            <v>3.162</v>
          </cell>
        </row>
        <row r="87">
          <cell r="E87">
            <v>31.085</v>
          </cell>
        </row>
        <row r="88">
          <cell r="E88">
            <v>13.069</v>
          </cell>
        </row>
        <row r="89">
          <cell r="E89">
            <v>0.483</v>
          </cell>
        </row>
        <row r="90">
          <cell r="E90">
            <v>0.845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ен.дох"/>
      <sheetName val="инв"/>
      <sheetName val="Лист3"/>
      <sheetName val="инв (2)"/>
      <sheetName val="трудовые ресурсы"/>
      <sheetName val="розн торговля, обществ питание"/>
      <sheetName val="доходы"/>
    </sheetNames>
    <sheetDataSet>
      <sheetData sheetId="0">
        <row r="11">
          <cell r="I11">
            <v>105.5</v>
          </cell>
        </row>
        <row r="31">
          <cell r="I31">
            <v>23922.573962989103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ен.дох"/>
      <sheetName val="инв"/>
      <sheetName val="Лист3"/>
      <sheetName val="инв (2)"/>
      <sheetName val="трудовые ресурсы"/>
      <sheetName val="розн торговля, обществ питание"/>
    </sheetNames>
    <sheetDataSet>
      <sheetData sheetId="0">
        <row r="36">
          <cell r="I36">
            <v>12147.21500472</v>
          </cell>
          <cell r="J36">
            <v>12703.613856927679</v>
          </cell>
          <cell r="K36">
            <v>13240</v>
          </cell>
          <cell r="L36">
            <v>13040</v>
          </cell>
          <cell r="M36">
            <v>13430</v>
          </cell>
          <cell r="P36">
            <v>13664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ен.дох"/>
      <sheetName val="инв"/>
      <sheetName val="Лист3"/>
      <sheetName val="инв (2)"/>
      <sheetName val="трудовые ресурсы"/>
      <sheetName val="розн торговля, обществ питание"/>
      <sheetName val="доходы"/>
    </sheetNames>
    <sheetDataSet>
      <sheetData sheetId="6">
        <row r="31">
          <cell r="B31">
            <v>96.53740198066984</v>
          </cell>
          <cell r="C31">
            <v>101.14940103418145</v>
          </cell>
          <cell r="D31">
            <v>100.71519187461769</v>
          </cell>
          <cell r="E31">
            <v>103.13156219392675</v>
          </cell>
          <cell r="F31">
            <v>102.87972849020855</v>
          </cell>
          <cell r="G31">
            <v>105.48531072540506</v>
          </cell>
          <cell r="H31">
            <v>105.74701767966211</v>
          </cell>
          <cell r="I31">
            <v>107.78236712268117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8"/>
  <sheetViews>
    <sheetView tabSelected="1" view="pageBreakPreview" zoomScale="60" zoomScaleNormal="70" workbookViewId="0" topLeftCell="B1">
      <pane xSplit="1" ySplit="11" topLeftCell="C72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L72" sqref="L72"/>
    </sheetView>
  </sheetViews>
  <sheetFormatPr defaultColWidth="9.00390625" defaultRowHeight="0" customHeight="1"/>
  <cols>
    <col min="1" max="1" width="9.125" style="5" hidden="1" customWidth="1"/>
    <col min="2" max="2" width="73.375" style="5" customWidth="1"/>
    <col min="3" max="3" width="43.375" style="5" customWidth="1"/>
    <col min="4" max="4" width="15.00390625" style="46" customWidth="1"/>
    <col min="5" max="5" width="15.25390625" style="46" customWidth="1"/>
    <col min="6" max="6" width="14.75390625" style="46" customWidth="1"/>
    <col min="7" max="8" width="15.25390625" style="46" customWidth="1"/>
    <col min="9" max="11" width="15.375" style="46" customWidth="1"/>
    <col min="12" max="13" width="15.25390625" style="46" customWidth="1"/>
    <col min="14" max="14" width="13.625" style="5" customWidth="1"/>
    <col min="15" max="15" width="10.625" style="5" bestFit="1" customWidth="1"/>
    <col min="16" max="16" width="10.25390625" style="5" customWidth="1"/>
    <col min="17" max="20" width="9.125" style="5" customWidth="1"/>
    <col min="21" max="26" width="10.125" style="5" bestFit="1" customWidth="1"/>
    <col min="27" max="16384" width="9.125" style="5" customWidth="1"/>
  </cols>
  <sheetData>
    <row r="1" spans="1:13" ht="21" customHeight="1">
      <c r="A1" s="5" t="s">
        <v>6</v>
      </c>
      <c r="I1" s="283" t="s">
        <v>111</v>
      </c>
      <c r="J1" s="283"/>
      <c r="K1" s="283"/>
      <c r="L1" s="283"/>
      <c r="M1" s="183"/>
    </row>
    <row r="2" spans="9:13" ht="21" customHeight="1">
      <c r="I2" s="283" t="s">
        <v>112</v>
      </c>
      <c r="J2" s="283"/>
      <c r="K2" s="283"/>
      <c r="L2" s="283"/>
      <c r="M2" s="183"/>
    </row>
    <row r="3" spans="3:13" ht="24" customHeight="1">
      <c r="C3" s="8"/>
      <c r="H3" s="47"/>
      <c r="I3" s="283" t="s">
        <v>113</v>
      </c>
      <c r="J3" s="283"/>
      <c r="K3" s="283"/>
      <c r="L3" s="283"/>
      <c r="M3" s="183"/>
    </row>
    <row r="4" spans="3:13" ht="24" customHeight="1">
      <c r="C4" s="8"/>
      <c r="H4" s="47"/>
      <c r="I4" s="283" t="s">
        <v>114</v>
      </c>
      <c r="J4" s="283"/>
      <c r="K4" s="283"/>
      <c r="L4" s="283"/>
      <c r="M4" s="183"/>
    </row>
    <row r="5" spans="2:13" ht="23.25" customHeight="1"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184"/>
    </row>
    <row r="6" spans="2:13" ht="24.75" customHeight="1">
      <c r="B6" s="285" t="s">
        <v>104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185"/>
    </row>
    <row r="7" spans="2:13" ht="25.5" customHeight="1">
      <c r="B7" s="285" t="s">
        <v>120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185"/>
    </row>
    <row r="9" spans="2:13" ht="37.5" customHeight="1">
      <c r="B9" s="286" t="s">
        <v>32</v>
      </c>
      <c r="C9" s="286" t="s">
        <v>33</v>
      </c>
      <c r="D9" s="281" t="s">
        <v>39</v>
      </c>
      <c r="E9" s="282"/>
      <c r="F9" s="48" t="s">
        <v>40</v>
      </c>
      <c r="G9" s="48" t="s">
        <v>170</v>
      </c>
      <c r="H9" s="48"/>
      <c r="I9" s="48"/>
      <c r="J9" s="48"/>
      <c r="K9" s="48"/>
      <c r="L9" s="48"/>
      <c r="M9" s="189"/>
    </row>
    <row r="10" spans="2:13" ht="18.75">
      <c r="B10" s="286"/>
      <c r="C10" s="286"/>
      <c r="D10" s="287">
        <v>2018</v>
      </c>
      <c r="E10" s="287">
        <v>2019</v>
      </c>
      <c r="F10" s="287">
        <f>E10+1</f>
        <v>2020</v>
      </c>
      <c r="G10" s="281">
        <f>F10+1</f>
        <v>2021</v>
      </c>
      <c r="H10" s="282"/>
      <c r="I10" s="281">
        <f>G10+1</f>
        <v>2022</v>
      </c>
      <c r="J10" s="282"/>
      <c r="K10" s="281">
        <f>I10+1</f>
        <v>2023</v>
      </c>
      <c r="L10" s="282"/>
      <c r="M10" s="190"/>
    </row>
    <row r="11" spans="2:13" ht="18.75">
      <c r="B11" s="286"/>
      <c r="C11" s="286"/>
      <c r="D11" s="287"/>
      <c r="E11" s="287"/>
      <c r="F11" s="287"/>
      <c r="G11" s="49" t="s">
        <v>34</v>
      </c>
      <c r="H11" s="49" t="s">
        <v>35</v>
      </c>
      <c r="I11" s="49" t="s">
        <v>34</v>
      </c>
      <c r="J11" s="49" t="s">
        <v>35</v>
      </c>
      <c r="K11" s="49" t="s">
        <v>34</v>
      </c>
      <c r="L11" s="49" t="s">
        <v>35</v>
      </c>
      <c r="M11" s="190"/>
    </row>
    <row r="12" spans="2:13" ht="18.75">
      <c r="B12" s="9" t="s">
        <v>36</v>
      </c>
      <c r="C12" s="10"/>
      <c r="D12" s="50"/>
      <c r="E12" s="51"/>
      <c r="F12" s="51"/>
      <c r="G12" s="51"/>
      <c r="H12" s="51"/>
      <c r="I12" s="51"/>
      <c r="J12" s="51"/>
      <c r="K12" s="51"/>
      <c r="L12" s="51"/>
      <c r="M12" s="55"/>
    </row>
    <row r="13" spans="2:14" ht="18.75">
      <c r="B13" s="279" t="s">
        <v>41</v>
      </c>
      <c r="C13" s="10" t="s">
        <v>30</v>
      </c>
      <c r="D13" s="78">
        <v>42.51</v>
      </c>
      <c r="E13" s="78">
        <v>42.08</v>
      </c>
      <c r="F13" s="78">
        <v>41.62</v>
      </c>
      <c r="G13" s="79">
        <v>41.17</v>
      </c>
      <c r="H13" s="79">
        <v>41.21</v>
      </c>
      <c r="I13" s="79">
        <v>40.73</v>
      </c>
      <c r="J13" s="79">
        <v>40.8</v>
      </c>
      <c r="K13" s="79">
        <v>40.31</v>
      </c>
      <c r="L13" s="79">
        <v>40.42</v>
      </c>
      <c r="M13" s="191"/>
      <c r="N13" s="191"/>
    </row>
    <row r="14" spans="2:14" ht="18.75">
      <c r="B14" s="279"/>
      <c r="C14" s="10" t="s">
        <v>42</v>
      </c>
      <c r="D14" s="78">
        <v>98.9</v>
      </c>
      <c r="E14" s="78">
        <v>98.99</v>
      </c>
      <c r="F14" s="78">
        <v>98.91</v>
      </c>
      <c r="G14" s="79">
        <v>98.9</v>
      </c>
      <c r="H14" s="79">
        <v>99</v>
      </c>
      <c r="I14" s="79">
        <v>98.9</v>
      </c>
      <c r="J14" s="79">
        <v>99</v>
      </c>
      <c r="K14" s="79">
        <v>98.97</v>
      </c>
      <c r="L14" s="79">
        <v>99.1</v>
      </c>
      <c r="M14" s="191"/>
      <c r="N14" s="191"/>
    </row>
    <row r="15" spans="2:26" ht="18.75">
      <c r="B15" s="11" t="s">
        <v>43</v>
      </c>
      <c r="C15" s="10" t="s">
        <v>44</v>
      </c>
      <c r="D15" s="78">
        <v>69.39</v>
      </c>
      <c r="E15" s="78">
        <v>69.98</v>
      </c>
      <c r="F15" s="79">
        <v>69.98</v>
      </c>
      <c r="G15" s="79">
        <v>70.05</v>
      </c>
      <c r="H15" s="79">
        <v>70.47</v>
      </c>
      <c r="I15" s="79">
        <v>70.05</v>
      </c>
      <c r="J15" s="79">
        <v>70.96</v>
      </c>
      <c r="K15" s="79">
        <v>70.26</v>
      </c>
      <c r="L15" s="266">
        <v>71.46</v>
      </c>
      <c r="M15" s="192"/>
      <c r="N15" s="191"/>
      <c r="O15" s="12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8.75">
      <c r="B16" s="279" t="s">
        <v>45</v>
      </c>
      <c r="C16" s="10" t="s">
        <v>30</v>
      </c>
      <c r="D16" s="245">
        <v>0.406</v>
      </c>
      <c r="E16" s="245">
        <v>0.384</v>
      </c>
      <c r="F16" s="246">
        <v>0.376</v>
      </c>
      <c r="G16" s="246">
        <v>0.37</v>
      </c>
      <c r="H16" s="246">
        <v>0.381</v>
      </c>
      <c r="I16" s="246">
        <v>0.372</v>
      </c>
      <c r="J16" s="246">
        <v>0.385</v>
      </c>
      <c r="K16" s="246">
        <v>0.375</v>
      </c>
      <c r="L16" s="266">
        <v>0.39</v>
      </c>
      <c r="M16" s="192"/>
      <c r="N16" s="194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8.75">
      <c r="B17" s="279"/>
      <c r="C17" s="10" t="s">
        <v>42</v>
      </c>
      <c r="D17" s="78">
        <v>88.6</v>
      </c>
      <c r="E17" s="78">
        <v>94.6</v>
      </c>
      <c r="F17" s="79">
        <v>97.9</v>
      </c>
      <c r="G17" s="79">
        <v>98.4</v>
      </c>
      <c r="H17" s="79">
        <v>100.3</v>
      </c>
      <c r="I17" s="79">
        <v>100.5</v>
      </c>
      <c r="J17" s="79">
        <v>101</v>
      </c>
      <c r="K17" s="79">
        <v>100.8</v>
      </c>
      <c r="L17" s="266">
        <v>101.3</v>
      </c>
      <c r="M17" s="192"/>
      <c r="N17" s="191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8.75">
      <c r="B18" s="11" t="s">
        <v>46</v>
      </c>
      <c r="C18" s="10" t="s">
        <v>47</v>
      </c>
      <c r="D18" s="78">
        <f>D16/D13*1000</f>
        <v>9.55069395436368</v>
      </c>
      <c r="E18" s="78">
        <f>E16/E13*1000</f>
        <v>9.125475285171103</v>
      </c>
      <c r="F18" s="78">
        <f>F16/F13*1000</f>
        <v>9.034118212397887</v>
      </c>
      <c r="G18" s="78">
        <f aca="true" t="shared" si="0" ref="G18:L18">G16/G13*1000</f>
        <v>8.987126548457613</v>
      </c>
      <c r="H18" s="78">
        <f t="shared" si="0"/>
        <v>9.245328803688425</v>
      </c>
      <c r="I18" s="78">
        <f t="shared" si="0"/>
        <v>9.133316965381784</v>
      </c>
      <c r="J18" s="78">
        <f t="shared" si="0"/>
        <v>9.436274509803923</v>
      </c>
      <c r="K18" s="78">
        <f t="shared" si="0"/>
        <v>9.302902505581741</v>
      </c>
      <c r="L18" s="267">
        <f t="shared" si="0"/>
        <v>9.648688767936665</v>
      </c>
      <c r="M18" s="193"/>
      <c r="N18" s="19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8.75">
      <c r="B19" s="279" t="s">
        <v>48</v>
      </c>
      <c r="C19" s="10" t="s">
        <v>30</v>
      </c>
      <c r="D19" s="245">
        <v>0.762</v>
      </c>
      <c r="E19" s="245">
        <v>0.761</v>
      </c>
      <c r="F19" s="246">
        <v>0.76</v>
      </c>
      <c r="G19" s="246">
        <v>0.77</v>
      </c>
      <c r="H19" s="246">
        <v>0.752</v>
      </c>
      <c r="I19" s="246">
        <v>0.768</v>
      </c>
      <c r="J19" s="246">
        <v>0.745</v>
      </c>
      <c r="K19" s="246">
        <v>0.765</v>
      </c>
      <c r="L19" s="266">
        <v>0.738</v>
      </c>
      <c r="M19" s="198"/>
      <c r="N19" s="194"/>
      <c r="O19" s="274"/>
      <c r="P19" s="275"/>
      <c r="Q19" s="276"/>
      <c r="R19" s="277"/>
      <c r="S19" s="277"/>
      <c r="T19" s="277"/>
      <c r="U19" s="277"/>
      <c r="V19" s="277"/>
      <c r="W19" s="277"/>
      <c r="X19" s="277"/>
      <c r="Y19" s="277"/>
      <c r="Z19" s="277"/>
    </row>
    <row r="20" spans="2:26" ht="18.75">
      <c r="B20" s="279"/>
      <c r="C20" s="10" t="s">
        <v>42</v>
      </c>
      <c r="D20" s="78">
        <v>96.9</v>
      </c>
      <c r="E20" s="78">
        <v>99.9</v>
      </c>
      <c r="F20" s="79">
        <v>99.9</v>
      </c>
      <c r="G20" s="79">
        <v>101.3</v>
      </c>
      <c r="H20" s="79">
        <v>98.9</v>
      </c>
      <c r="I20" s="79">
        <v>99.7</v>
      </c>
      <c r="J20" s="79">
        <v>99.1</v>
      </c>
      <c r="K20" s="79">
        <v>99.6</v>
      </c>
      <c r="L20" s="266">
        <v>99.1</v>
      </c>
      <c r="M20" s="192"/>
      <c r="N20" s="191"/>
      <c r="O20" s="7"/>
      <c r="P20" s="7"/>
      <c r="Q20" s="7"/>
      <c r="R20" s="7"/>
      <c r="S20" s="7"/>
      <c r="T20" s="7"/>
      <c r="U20" s="273"/>
      <c r="V20" s="273"/>
      <c r="W20" s="273"/>
      <c r="X20" s="273"/>
      <c r="Y20" s="273"/>
      <c r="Z20" s="273"/>
    </row>
    <row r="21" spans="2:26" ht="18.75">
      <c r="B21" s="11" t="s">
        <v>49</v>
      </c>
      <c r="C21" s="10" t="s">
        <v>47</v>
      </c>
      <c r="D21" s="78">
        <f>D19/D13*1000</f>
        <v>17.925194071983064</v>
      </c>
      <c r="E21" s="78">
        <f>E19/E13*1000</f>
        <v>18.084600760456272</v>
      </c>
      <c r="F21" s="78">
        <f>F19/F13*1000</f>
        <v>18.260451705910622</v>
      </c>
      <c r="G21" s="78">
        <f aca="true" t="shared" si="1" ref="G21:L21">G19/G13*1000</f>
        <v>18.702939033276657</v>
      </c>
      <c r="H21" s="78">
        <f t="shared" si="1"/>
        <v>18.24799805872361</v>
      </c>
      <c r="I21" s="78">
        <f t="shared" si="1"/>
        <v>18.855880186594646</v>
      </c>
      <c r="J21" s="78">
        <f t="shared" si="1"/>
        <v>18.25980392156863</v>
      </c>
      <c r="K21" s="78">
        <f t="shared" si="1"/>
        <v>18.977921111386753</v>
      </c>
      <c r="L21" s="267">
        <f t="shared" si="1"/>
        <v>18.25828797624938</v>
      </c>
      <c r="M21" s="193"/>
      <c r="N21" s="193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8.75">
      <c r="B22" s="279" t="s">
        <v>50</v>
      </c>
      <c r="C22" s="10" t="s">
        <v>30</v>
      </c>
      <c r="D22" s="245">
        <v>-0.356</v>
      </c>
      <c r="E22" s="245">
        <v>-0.377</v>
      </c>
      <c r="F22" s="246">
        <f>F16-F19</f>
        <v>-0.384</v>
      </c>
      <c r="G22" s="246">
        <f aca="true" t="shared" si="2" ref="G22:L22">G16-G19</f>
        <v>-0.4</v>
      </c>
      <c r="H22" s="246">
        <f t="shared" si="2"/>
        <v>-0.371</v>
      </c>
      <c r="I22" s="246">
        <f t="shared" si="2"/>
        <v>-0.396</v>
      </c>
      <c r="J22" s="246">
        <f t="shared" si="2"/>
        <v>-0.36</v>
      </c>
      <c r="K22" s="246">
        <f t="shared" si="2"/>
        <v>-0.39</v>
      </c>
      <c r="L22" s="268">
        <f t="shared" si="2"/>
        <v>-0.348</v>
      </c>
      <c r="M22" s="194"/>
      <c r="N22" s="19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8.75">
      <c r="B23" s="279"/>
      <c r="C23" s="10" t="s">
        <v>42</v>
      </c>
      <c r="D23" s="78">
        <v>108.5</v>
      </c>
      <c r="E23" s="78">
        <v>105.9</v>
      </c>
      <c r="F23" s="79">
        <v>101.9</v>
      </c>
      <c r="G23" s="79">
        <f>G22/F22*100</f>
        <v>104.16666666666667</v>
      </c>
      <c r="H23" s="79">
        <f>H22/F22*100</f>
        <v>96.61458333333333</v>
      </c>
      <c r="I23" s="79">
        <f>I22/G22*100</f>
        <v>99</v>
      </c>
      <c r="J23" s="79">
        <f>J22/H22*100</f>
        <v>97.03504043126684</v>
      </c>
      <c r="K23" s="79">
        <f>K22/I22*100</f>
        <v>98.48484848484848</v>
      </c>
      <c r="L23" s="269">
        <f>L22/J22*100</f>
        <v>96.66666666666667</v>
      </c>
      <c r="M23" s="195"/>
      <c r="N23" s="195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8.75">
      <c r="B24" s="11" t="s">
        <v>51</v>
      </c>
      <c r="C24" s="10" t="s">
        <v>47</v>
      </c>
      <c r="D24" s="78">
        <f>D22/D13*1000</f>
        <v>-8.374500117619384</v>
      </c>
      <c r="E24" s="78">
        <f>E22/E13*1000</f>
        <v>-8.959125475285171</v>
      </c>
      <c r="F24" s="78">
        <f>F22/F13*1000</f>
        <v>-9.226333493512735</v>
      </c>
      <c r="G24" s="78">
        <f aca="true" t="shared" si="3" ref="G24:L24">G22/G13*1000</f>
        <v>-9.715812484819043</v>
      </c>
      <c r="H24" s="78">
        <f t="shared" si="3"/>
        <v>-9.002669255035185</v>
      </c>
      <c r="I24" s="78">
        <f t="shared" si="3"/>
        <v>-9.722563221212866</v>
      </c>
      <c r="J24" s="78">
        <f t="shared" si="3"/>
        <v>-8.823529411764707</v>
      </c>
      <c r="K24" s="78">
        <f t="shared" si="3"/>
        <v>-9.675018605805011</v>
      </c>
      <c r="L24" s="267">
        <f t="shared" si="3"/>
        <v>-8.609599208312716</v>
      </c>
      <c r="M24" s="193"/>
      <c r="N24" s="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2.75">
      <c r="B25" s="279" t="s">
        <v>52</v>
      </c>
      <c r="C25" s="293" t="s">
        <v>166</v>
      </c>
      <c r="D25" s="289">
        <v>1.675</v>
      </c>
      <c r="E25" s="289">
        <v>1.572</v>
      </c>
      <c r="F25" s="289">
        <v>1.58</v>
      </c>
      <c r="G25" s="289">
        <v>1.588</v>
      </c>
      <c r="H25" s="289">
        <v>1.598</v>
      </c>
      <c r="I25" s="289">
        <v>1.596</v>
      </c>
      <c r="J25" s="289">
        <v>1.608</v>
      </c>
      <c r="K25" s="289">
        <v>1.605</v>
      </c>
      <c r="L25" s="295">
        <v>1.618</v>
      </c>
      <c r="M25" s="19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ht="40.5" customHeight="1">
      <c r="B26" s="279"/>
      <c r="C26" s="294"/>
      <c r="D26" s="290"/>
      <c r="E26" s="290"/>
      <c r="F26" s="290"/>
      <c r="G26" s="290"/>
      <c r="H26" s="290"/>
      <c r="I26" s="290"/>
      <c r="J26" s="290"/>
      <c r="K26" s="290"/>
      <c r="L26" s="296"/>
      <c r="M26" s="197"/>
      <c r="N26" s="198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40.5" customHeight="1">
      <c r="B27" s="279"/>
      <c r="C27" s="10" t="s">
        <v>167</v>
      </c>
      <c r="D27" s="245">
        <v>1.729</v>
      </c>
      <c r="E27" s="245">
        <v>1.662</v>
      </c>
      <c r="F27" s="245">
        <v>1.66</v>
      </c>
      <c r="G27" s="245">
        <v>1.658</v>
      </c>
      <c r="H27" s="249">
        <v>1.65</v>
      </c>
      <c r="I27" s="245">
        <v>1.655</v>
      </c>
      <c r="J27" s="245">
        <v>1.645</v>
      </c>
      <c r="K27" s="245">
        <v>1.651</v>
      </c>
      <c r="L27" s="271">
        <v>1.64</v>
      </c>
      <c r="M27" s="197"/>
      <c r="N27" s="19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ht="12.75">
      <c r="B28" s="279"/>
      <c r="C28" s="293" t="s">
        <v>168</v>
      </c>
      <c r="D28" s="291">
        <v>108.1</v>
      </c>
      <c r="E28" s="291">
        <v>93.9</v>
      </c>
      <c r="F28" s="291">
        <v>100.5</v>
      </c>
      <c r="G28" s="291">
        <v>100.5</v>
      </c>
      <c r="H28" s="291">
        <v>100.6</v>
      </c>
      <c r="I28" s="291">
        <v>100.5</v>
      </c>
      <c r="J28" s="291">
        <v>100.6</v>
      </c>
      <c r="K28" s="291">
        <v>100.6</v>
      </c>
      <c r="L28" s="295">
        <v>100.6</v>
      </c>
      <c r="M28" s="19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21" customHeight="1">
      <c r="B29" s="279"/>
      <c r="C29" s="294"/>
      <c r="D29" s="292"/>
      <c r="E29" s="292"/>
      <c r="F29" s="292"/>
      <c r="G29" s="292"/>
      <c r="H29" s="292"/>
      <c r="I29" s="292"/>
      <c r="J29" s="292"/>
      <c r="K29" s="292"/>
      <c r="L29" s="296"/>
      <c r="M29" s="196"/>
      <c r="N29" s="193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8.75">
      <c r="B30" s="279"/>
      <c r="C30" s="10" t="s">
        <v>169</v>
      </c>
      <c r="D30" s="78">
        <v>100.9</v>
      </c>
      <c r="E30" s="78">
        <v>96.1</v>
      </c>
      <c r="F30" s="78">
        <v>99.9</v>
      </c>
      <c r="G30" s="78">
        <v>99.9</v>
      </c>
      <c r="H30" s="78">
        <v>99.5</v>
      </c>
      <c r="I30" s="78">
        <v>99.8</v>
      </c>
      <c r="J30" s="78">
        <v>97.9</v>
      </c>
      <c r="K30" s="78">
        <v>99.8</v>
      </c>
      <c r="L30" s="266">
        <v>99.7</v>
      </c>
      <c r="M30" s="196"/>
      <c r="N30" s="193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ht="18.75">
      <c r="B31" s="279" t="s">
        <v>53</v>
      </c>
      <c r="C31" s="10" t="s">
        <v>30</v>
      </c>
      <c r="D31" s="245">
        <v>-0.054</v>
      </c>
      <c r="E31" s="245">
        <v>-0.09</v>
      </c>
      <c r="F31" s="245">
        <f aca="true" t="shared" si="4" ref="F31:L31">F25-F27</f>
        <v>-0.07999999999999985</v>
      </c>
      <c r="G31" s="245">
        <f t="shared" si="4"/>
        <v>-0.06999999999999984</v>
      </c>
      <c r="H31" s="245">
        <f t="shared" si="4"/>
        <v>-0.051999999999999824</v>
      </c>
      <c r="I31" s="245">
        <f t="shared" si="4"/>
        <v>-0.05899999999999994</v>
      </c>
      <c r="J31" s="245">
        <f t="shared" si="4"/>
        <v>-0.03699999999999992</v>
      </c>
      <c r="K31" s="245">
        <f t="shared" si="4"/>
        <v>-0.04600000000000004</v>
      </c>
      <c r="L31" s="272">
        <f t="shared" si="4"/>
        <v>-0.021999999999999797</v>
      </c>
      <c r="M31" s="198"/>
      <c r="N31" s="198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8.75">
      <c r="B32" s="279"/>
      <c r="C32" s="10" t="s">
        <v>42</v>
      </c>
      <c r="D32" s="78">
        <v>32.9</v>
      </c>
      <c r="E32" s="78">
        <v>166.7</v>
      </c>
      <c r="F32" s="78">
        <f>F31/E31*100</f>
        <v>88.88888888888873</v>
      </c>
      <c r="G32" s="78">
        <f>G31/F31*100</f>
        <v>87.49999999999997</v>
      </c>
      <c r="H32" s="78">
        <f>H31/F31*100</f>
        <v>64.9999999999999</v>
      </c>
      <c r="I32" s="78">
        <f>I31/G31*100</f>
        <v>84.28571428571439</v>
      </c>
      <c r="J32" s="78">
        <f>J31/H31*100</f>
        <v>71.15384615384625</v>
      </c>
      <c r="K32" s="78">
        <f>K31/I31*100</f>
        <v>77.96610169491541</v>
      </c>
      <c r="L32" s="267">
        <f>L31/J31*100</f>
        <v>59.45945945945904</v>
      </c>
      <c r="M32" s="193"/>
      <c r="N32" s="193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8.75">
      <c r="B33" s="11" t="s">
        <v>38</v>
      </c>
      <c r="C33" s="10" t="s">
        <v>54</v>
      </c>
      <c r="D33" s="78">
        <f>D31/D13*1000</f>
        <v>-1.2702893436838392</v>
      </c>
      <c r="E33" s="78">
        <f>E31/E13*1000</f>
        <v>-2.1387832699619773</v>
      </c>
      <c r="F33" s="78">
        <f>F31/F13*1000</f>
        <v>-1.9221528111484827</v>
      </c>
      <c r="G33" s="78">
        <f aca="true" t="shared" si="5" ref="G33:L33">G31/G13*1000</f>
        <v>-1.7002671848433286</v>
      </c>
      <c r="H33" s="78">
        <f t="shared" si="5"/>
        <v>-1.2618296529968411</v>
      </c>
      <c r="I33" s="78">
        <f t="shared" si="5"/>
        <v>-1.4485637122514103</v>
      </c>
      <c r="J33" s="78">
        <f t="shared" si="5"/>
        <v>-0.9068627450980373</v>
      </c>
      <c r="K33" s="78">
        <f t="shared" si="5"/>
        <v>-1.1411560406846946</v>
      </c>
      <c r="L33" s="267">
        <f t="shared" si="5"/>
        <v>-0.5442850074220632</v>
      </c>
      <c r="M33" s="193"/>
      <c r="N33" s="193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8.75">
      <c r="B34" s="12" t="s">
        <v>55</v>
      </c>
      <c r="C34" s="10"/>
      <c r="D34" s="79"/>
      <c r="E34" s="79"/>
      <c r="F34" s="79"/>
      <c r="G34" s="79"/>
      <c r="H34" s="79"/>
      <c r="I34" s="79"/>
      <c r="J34" s="79"/>
      <c r="K34" s="79"/>
      <c r="L34" s="270"/>
      <c r="M34" s="19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13" ht="18.75">
      <c r="B35" s="11" t="s">
        <v>56</v>
      </c>
      <c r="C35" s="10" t="s">
        <v>105</v>
      </c>
      <c r="D35" s="78">
        <v>12203.38</v>
      </c>
      <c r="E35" s="78">
        <v>12786.21</v>
      </c>
      <c r="F35" s="79">
        <v>13323.76</v>
      </c>
      <c r="G35" s="79">
        <v>13073.44</v>
      </c>
      <c r="H35" s="79">
        <v>13511.12</v>
      </c>
      <c r="I35" s="79">
        <v>13179.84</v>
      </c>
      <c r="J35" s="79">
        <v>13745.28</v>
      </c>
      <c r="K35" s="79">
        <v>13269.03</v>
      </c>
      <c r="L35" s="79">
        <v>13917.19</v>
      </c>
      <c r="M35" s="199"/>
    </row>
    <row r="36" spans="2:13" ht="18.75">
      <c r="B36" s="11" t="s">
        <v>57</v>
      </c>
      <c r="C36" s="10" t="s">
        <v>37</v>
      </c>
      <c r="D36" s="78">
        <f>'[4]ден.дох'!I11</f>
        <v>105.5</v>
      </c>
      <c r="E36" s="78">
        <f>'[6]доходы'!B31</f>
        <v>96.53740198066984</v>
      </c>
      <c r="F36" s="78">
        <f>'[6]доходы'!C31</f>
        <v>101.14940103418145</v>
      </c>
      <c r="G36" s="78">
        <f>'[6]доходы'!D31</f>
        <v>100.71519187461769</v>
      </c>
      <c r="H36" s="78">
        <f>'[6]доходы'!E31</f>
        <v>103.13156219392675</v>
      </c>
      <c r="I36" s="78">
        <f>'[6]доходы'!F31</f>
        <v>102.87972849020855</v>
      </c>
      <c r="J36" s="78">
        <f>'[6]доходы'!G31</f>
        <v>105.48531072540506</v>
      </c>
      <c r="K36" s="78">
        <f>'[6]доходы'!H31</f>
        <v>105.74701767966211</v>
      </c>
      <c r="L36" s="78">
        <f>'[6]доходы'!I31</f>
        <v>107.78236712268117</v>
      </c>
      <c r="M36" s="199"/>
    </row>
    <row r="37" spans="2:13" ht="18.75">
      <c r="B37" s="11" t="s">
        <v>58</v>
      </c>
      <c r="C37" s="10" t="s">
        <v>59</v>
      </c>
      <c r="D37" s="78">
        <f>'[4]ден.дох'!I31</f>
        <v>23922.573962989103</v>
      </c>
      <c r="E37" s="78">
        <v>25321.2</v>
      </c>
      <c r="F37" s="78">
        <v>26677.4</v>
      </c>
      <c r="G37" s="78">
        <v>26462.3</v>
      </c>
      <c r="H37" s="79">
        <v>27321.7</v>
      </c>
      <c r="I37" s="79">
        <v>26965.9</v>
      </c>
      <c r="J37" s="79">
        <v>28074.5</v>
      </c>
      <c r="K37" s="79">
        <v>27431.2</v>
      </c>
      <c r="L37" s="247">
        <v>28692.9</v>
      </c>
      <c r="M37" s="199"/>
    </row>
    <row r="38" spans="2:15" ht="18.75">
      <c r="B38" s="279" t="s">
        <v>60</v>
      </c>
      <c r="C38" s="10" t="s">
        <v>105</v>
      </c>
      <c r="D38" s="78">
        <v>4268.5</v>
      </c>
      <c r="E38" s="78">
        <v>4619.81</v>
      </c>
      <c r="F38" s="78">
        <v>5064.53</v>
      </c>
      <c r="G38" s="78">
        <v>5175.95</v>
      </c>
      <c r="H38" s="79">
        <v>5341.06</v>
      </c>
      <c r="I38" s="79">
        <v>5357.11</v>
      </c>
      <c r="J38" s="79">
        <v>5698.91</v>
      </c>
      <c r="K38" s="79">
        <v>5544.61</v>
      </c>
      <c r="L38" s="244">
        <v>6080.73</v>
      </c>
      <c r="M38" s="199"/>
      <c r="O38" s="28"/>
    </row>
    <row r="39" spans="2:13" ht="18.75">
      <c r="B39" s="279"/>
      <c r="C39" s="10" t="s">
        <v>42</v>
      </c>
      <c r="D39" s="78">
        <v>117.5</v>
      </c>
      <c r="E39" s="78">
        <v>108.2</v>
      </c>
      <c r="F39" s="78">
        <v>109.6</v>
      </c>
      <c r="G39" s="78">
        <v>102.2</v>
      </c>
      <c r="H39" s="78">
        <v>105.5</v>
      </c>
      <c r="I39" s="78">
        <v>103.5</v>
      </c>
      <c r="J39" s="78">
        <v>106.7</v>
      </c>
      <c r="K39" s="78">
        <v>103.5</v>
      </c>
      <c r="L39" s="244">
        <v>106.7</v>
      </c>
      <c r="M39" s="199"/>
    </row>
    <row r="40" spans="2:13" ht="18.75">
      <c r="B40" s="11" t="s">
        <v>61</v>
      </c>
      <c r="C40" s="10" t="s">
        <v>105</v>
      </c>
      <c r="D40" s="78">
        <f>'[5]ден.дох'!I36</f>
        <v>12147.21500472</v>
      </c>
      <c r="E40" s="78">
        <f>'[5]ден.дох'!J36</f>
        <v>12703.613856927679</v>
      </c>
      <c r="F40" s="78">
        <f>'[5]ден.дох'!K36</f>
        <v>13240</v>
      </c>
      <c r="G40" s="78">
        <f>'[5]ден.дох'!L36</f>
        <v>13040</v>
      </c>
      <c r="H40" s="79">
        <f>'[5]ден.дох'!M36</f>
        <v>13430</v>
      </c>
      <c r="I40" s="79">
        <v>13140</v>
      </c>
      <c r="J40" s="79">
        <f>'[5]ден.дох'!P36</f>
        <v>13664</v>
      </c>
      <c r="K40" s="250">
        <v>13225</v>
      </c>
      <c r="L40" s="244">
        <v>13832.76</v>
      </c>
      <c r="M40" s="199"/>
    </row>
    <row r="41" spans="2:13" ht="37.5">
      <c r="B41" s="11" t="s">
        <v>62</v>
      </c>
      <c r="C41" s="10" t="s">
        <v>105</v>
      </c>
      <c r="D41" s="78">
        <f>D35-D40</f>
        <v>56.16499527999986</v>
      </c>
      <c r="E41" s="78">
        <f aca="true" t="shared" si="6" ref="E41:L41">E35-E40</f>
        <v>82.59614307232005</v>
      </c>
      <c r="F41" s="78">
        <f t="shared" si="6"/>
        <v>83.76000000000022</v>
      </c>
      <c r="G41" s="78">
        <f t="shared" si="6"/>
        <v>33.44000000000051</v>
      </c>
      <c r="H41" s="78">
        <f t="shared" si="6"/>
        <v>81.1200000000008</v>
      </c>
      <c r="I41" s="78">
        <f t="shared" si="6"/>
        <v>39.840000000000146</v>
      </c>
      <c r="J41" s="78">
        <f t="shared" si="6"/>
        <v>81.28000000000065</v>
      </c>
      <c r="K41" s="78">
        <f t="shared" si="6"/>
        <v>44.030000000000655</v>
      </c>
      <c r="L41" s="78">
        <f t="shared" si="6"/>
        <v>84.43000000000029</v>
      </c>
      <c r="M41" s="199"/>
    </row>
    <row r="42" spans="2:13" ht="37.5">
      <c r="B42" s="11" t="s">
        <v>63</v>
      </c>
      <c r="C42" s="10" t="s">
        <v>5</v>
      </c>
      <c r="D42" s="78">
        <v>12623</v>
      </c>
      <c r="E42" s="78">
        <v>13142</v>
      </c>
      <c r="F42" s="78">
        <v>13930.84</v>
      </c>
      <c r="G42" s="78">
        <v>14507.79</v>
      </c>
      <c r="H42" s="79">
        <v>14504.25</v>
      </c>
      <c r="I42" s="79">
        <v>15088.1</v>
      </c>
      <c r="J42" s="79">
        <v>15069.91</v>
      </c>
      <c r="K42" s="79">
        <v>15691.63</v>
      </c>
      <c r="L42" s="247">
        <v>15657.64</v>
      </c>
      <c r="M42" s="199"/>
    </row>
    <row r="43" spans="2:13" ht="37.5">
      <c r="B43" s="11" t="s">
        <v>64</v>
      </c>
      <c r="C43" s="10" t="s">
        <v>65</v>
      </c>
      <c r="D43" s="78">
        <v>13.8</v>
      </c>
      <c r="E43" s="78">
        <v>12.72</v>
      </c>
      <c r="F43" s="78">
        <v>12.67</v>
      </c>
      <c r="G43" s="78">
        <v>12.63</v>
      </c>
      <c r="H43" s="79">
        <v>11.89</v>
      </c>
      <c r="I43" s="79">
        <v>12.28</v>
      </c>
      <c r="J43" s="79">
        <v>11.52</v>
      </c>
      <c r="K43" s="79">
        <v>12.16</v>
      </c>
      <c r="L43" s="248">
        <v>11.98</v>
      </c>
      <c r="M43" s="199"/>
    </row>
    <row r="44" spans="2:15" ht="18.75">
      <c r="B44" s="279" t="s">
        <v>66</v>
      </c>
      <c r="C44" s="10" t="s">
        <v>5</v>
      </c>
      <c r="D44" s="78">
        <v>35905.3</v>
      </c>
      <c r="E44" s="78">
        <v>39965.3</v>
      </c>
      <c r="F44" s="79">
        <v>43526.8</v>
      </c>
      <c r="G44" s="79">
        <v>44484.4</v>
      </c>
      <c r="H44" s="79">
        <v>45903.4</v>
      </c>
      <c r="I44" s="79">
        <v>46041.3</v>
      </c>
      <c r="J44" s="79">
        <v>48978.9</v>
      </c>
      <c r="K44" s="79">
        <v>47652.8</v>
      </c>
      <c r="L44" s="244">
        <v>52260.5</v>
      </c>
      <c r="M44" s="199"/>
      <c r="N44" s="242"/>
      <c r="O44" s="29"/>
    </row>
    <row r="45" spans="2:14" ht="18.75">
      <c r="B45" s="279"/>
      <c r="C45" s="10" t="s">
        <v>42</v>
      </c>
      <c r="D45" s="78">
        <v>117.3</v>
      </c>
      <c r="E45" s="78">
        <v>111.3</v>
      </c>
      <c r="F45" s="79">
        <v>108.9</v>
      </c>
      <c r="G45" s="79">
        <v>102.2</v>
      </c>
      <c r="H45" s="79">
        <v>105.5</v>
      </c>
      <c r="I45" s="79">
        <v>103.5</v>
      </c>
      <c r="J45" s="79">
        <v>106.7</v>
      </c>
      <c r="K45" s="79">
        <v>103.5</v>
      </c>
      <c r="L45" s="244">
        <v>106.7</v>
      </c>
      <c r="M45" s="199"/>
      <c r="N45" s="242"/>
    </row>
    <row r="46" spans="2:13" ht="18.75">
      <c r="B46" s="13" t="s">
        <v>67</v>
      </c>
      <c r="C46" s="10"/>
      <c r="D46" s="79"/>
      <c r="E46" s="79"/>
      <c r="F46" s="79"/>
      <c r="G46" s="79"/>
      <c r="H46" s="79"/>
      <c r="I46" s="79"/>
      <c r="J46" s="79"/>
      <c r="K46" s="79"/>
      <c r="L46" s="240"/>
      <c r="M46" s="199"/>
    </row>
    <row r="47" spans="2:32" ht="18.75">
      <c r="B47" s="280" t="s">
        <v>68</v>
      </c>
      <c r="C47" s="3" t="s">
        <v>70</v>
      </c>
      <c r="D47" s="251">
        <v>16594</v>
      </c>
      <c r="E47" s="251">
        <v>16339</v>
      </c>
      <c r="F47" s="251">
        <v>16170</v>
      </c>
      <c r="G47" s="251">
        <v>16175</v>
      </c>
      <c r="H47" s="251">
        <v>16180</v>
      </c>
      <c r="I47" s="251">
        <v>16182</v>
      </c>
      <c r="J47" s="251">
        <v>16190</v>
      </c>
      <c r="K47" s="251">
        <v>16190</v>
      </c>
      <c r="L47" s="251">
        <v>16200</v>
      </c>
      <c r="M47" s="200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</row>
    <row r="48" spans="2:13" ht="18.75">
      <c r="B48" s="280"/>
      <c r="C48" s="3" t="s">
        <v>42</v>
      </c>
      <c r="D48" s="78">
        <v>98.7</v>
      </c>
      <c r="E48" s="78">
        <f>E47/D47*100</f>
        <v>98.46329998794745</v>
      </c>
      <c r="F48" s="252">
        <f>F47/E47*100</f>
        <v>98.96566497337659</v>
      </c>
      <c r="G48" s="78">
        <f>G47/F47*100</f>
        <v>100.03092145949289</v>
      </c>
      <c r="H48" s="79">
        <f>H47/F47*100</f>
        <v>100.06184291898576</v>
      </c>
      <c r="I48" s="79">
        <f>I47/G47*100</f>
        <v>100.0432766615147</v>
      </c>
      <c r="J48" s="79">
        <f>J47/H47*100</f>
        <v>100.06180469715697</v>
      </c>
      <c r="K48" s="79">
        <f>K47/I47*100</f>
        <v>100.04943764676801</v>
      </c>
      <c r="L48" s="247">
        <f>L47/J47*100</f>
        <v>100.06176652254477</v>
      </c>
      <c r="M48" s="195"/>
    </row>
    <row r="49" spans="2:13" ht="37.5">
      <c r="B49" s="14" t="s">
        <v>69</v>
      </c>
      <c r="C49" s="10" t="s">
        <v>70</v>
      </c>
      <c r="D49" s="253">
        <v>0</v>
      </c>
      <c r="E49" s="251">
        <v>0</v>
      </c>
      <c r="F49" s="251">
        <v>0</v>
      </c>
      <c r="G49" s="251">
        <v>0</v>
      </c>
      <c r="H49" s="254">
        <v>0</v>
      </c>
      <c r="I49" s="254">
        <v>0</v>
      </c>
      <c r="J49" s="254">
        <v>0</v>
      </c>
      <c r="K49" s="254">
        <v>0</v>
      </c>
      <c r="L49" s="254">
        <v>0</v>
      </c>
      <c r="M49" s="201"/>
    </row>
    <row r="50" spans="2:13" ht="18.75">
      <c r="B50" s="13" t="s">
        <v>71</v>
      </c>
      <c r="C50" s="10"/>
      <c r="D50" s="79"/>
      <c r="E50" s="79"/>
      <c r="F50" s="79"/>
      <c r="G50" s="79"/>
      <c r="H50" s="79"/>
      <c r="I50" s="79"/>
      <c r="J50" s="79"/>
      <c r="K50" s="79"/>
      <c r="L50" s="240"/>
      <c r="M50" s="199"/>
    </row>
    <row r="51" spans="2:13" ht="18.75">
      <c r="B51" s="11" t="s">
        <v>72</v>
      </c>
      <c r="C51" s="10" t="s">
        <v>70</v>
      </c>
      <c r="D51" s="251">
        <v>20728</v>
      </c>
      <c r="E51" s="251">
        <v>20451</v>
      </c>
      <c r="F51" s="251">
        <v>20062</v>
      </c>
      <c r="G51" s="251">
        <v>19821</v>
      </c>
      <c r="H51" s="251">
        <v>19861</v>
      </c>
      <c r="I51" s="251">
        <f>G51*98.8/100</f>
        <v>19583.148</v>
      </c>
      <c r="J51" s="251">
        <f>H51*99/100</f>
        <v>19662.39</v>
      </c>
      <c r="K51" s="251">
        <f>I51*98.8/100</f>
        <v>19348.150224</v>
      </c>
      <c r="L51" s="251">
        <f>J51*99/100</f>
        <v>19465.766099999997</v>
      </c>
      <c r="M51" s="200"/>
    </row>
    <row r="52" spans="2:17" ht="18.75">
      <c r="B52" s="11" t="s">
        <v>73</v>
      </c>
      <c r="C52" s="10" t="s">
        <v>70</v>
      </c>
      <c r="D52" s="244">
        <v>479</v>
      </c>
      <c r="E52" s="244">
        <v>589</v>
      </c>
      <c r="F52" s="244">
        <v>1236</v>
      </c>
      <c r="G52" s="244">
        <v>1236</v>
      </c>
      <c r="H52" s="244">
        <v>824</v>
      </c>
      <c r="I52" s="244">
        <v>1030</v>
      </c>
      <c r="J52" s="244">
        <v>721</v>
      </c>
      <c r="K52" s="244">
        <v>927</v>
      </c>
      <c r="L52" s="244">
        <v>617</v>
      </c>
      <c r="M52" s="192"/>
      <c r="O52" s="102"/>
      <c r="P52" s="102"/>
      <c r="Q52" s="102"/>
    </row>
    <row r="53" spans="2:17" ht="37.5">
      <c r="B53" s="11" t="s">
        <v>74</v>
      </c>
      <c r="C53" s="10" t="s">
        <v>70</v>
      </c>
      <c r="D53" s="251">
        <v>232</v>
      </c>
      <c r="E53" s="251">
        <v>286</v>
      </c>
      <c r="F53" s="254">
        <v>540</v>
      </c>
      <c r="G53" s="254">
        <v>545</v>
      </c>
      <c r="H53" s="254">
        <v>400</v>
      </c>
      <c r="I53" s="254">
        <v>500</v>
      </c>
      <c r="J53" s="254">
        <v>350</v>
      </c>
      <c r="K53" s="254">
        <v>450</v>
      </c>
      <c r="L53" s="254">
        <v>300</v>
      </c>
      <c r="M53" s="201"/>
      <c r="O53" s="102"/>
      <c r="P53" s="102"/>
      <c r="Q53" s="102"/>
    </row>
    <row r="54" spans="2:17" ht="37.5">
      <c r="B54" s="15" t="s">
        <v>75</v>
      </c>
      <c r="C54" s="16" t="s">
        <v>2</v>
      </c>
      <c r="D54" s="255">
        <f>Лист3!C56</f>
        <v>2.064655172413793</v>
      </c>
      <c r="E54" s="255">
        <f>Лист3!D56</f>
        <v>2.5557580491191527</v>
      </c>
      <c r="F54" s="255">
        <f>Лист3!E56</f>
        <v>5.631236047200328</v>
      </c>
      <c r="G54" s="255">
        <f>Лист3!F56</f>
        <v>5.715606936416185</v>
      </c>
      <c r="H54" s="255">
        <f>Лист3!G56</f>
        <v>3.7919926369075014</v>
      </c>
      <c r="I54" s="255">
        <f>Лист3!H56</f>
        <v>4.807467911318553</v>
      </c>
      <c r="J54" s="255">
        <f>Лист3!I56</f>
        <v>3.3516177017478617</v>
      </c>
      <c r="K54" s="255">
        <f>Лист3!J56</f>
        <v>4.379251700680272</v>
      </c>
      <c r="L54" s="255">
        <f>Лист3!K56</f>
        <v>2.8971216603277457</v>
      </c>
      <c r="M54" s="202"/>
      <c r="O54" s="102"/>
      <c r="P54" s="102"/>
      <c r="Q54" s="102"/>
    </row>
    <row r="55" spans="2:16" ht="56.25">
      <c r="B55" s="11" t="s">
        <v>76</v>
      </c>
      <c r="C55" s="10" t="s">
        <v>2</v>
      </c>
      <c r="D55" s="78">
        <v>1</v>
      </c>
      <c r="E55" s="78">
        <v>1.24</v>
      </c>
      <c r="F55" s="78">
        <v>2.4</v>
      </c>
      <c r="G55" s="78">
        <v>2.45</v>
      </c>
      <c r="H55" s="78">
        <v>1.84</v>
      </c>
      <c r="I55" s="78">
        <v>2.32</v>
      </c>
      <c r="J55" s="78">
        <v>1.62</v>
      </c>
      <c r="K55" s="78">
        <v>2.11</v>
      </c>
      <c r="L55" s="78">
        <v>1.4</v>
      </c>
      <c r="M55" s="193"/>
      <c r="P55" s="29"/>
    </row>
    <row r="56" spans="2:30" ht="18.75">
      <c r="B56" s="9" t="s">
        <v>106</v>
      </c>
      <c r="C56" s="10"/>
      <c r="D56" s="79"/>
      <c r="E56" s="79"/>
      <c r="F56" s="79"/>
      <c r="G56" s="79"/>
      <c r="H56" s="79"/>
      <c r="I56" s="79"/>
      <c r="J56" s="79"/>
      <c r="K56" s="79"/>
      <c r="L56" s="240"/>
      <c r="M56" s="199"/>
      <c r="P56" s="7"/>
      <c r="Q56" s="7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7"/>
    </row>
    <row r="57" spans="2:31" ht="18.75">
      <c r="B57" s="279" t="s">
        <v>78</v>
      </c>
      <c r="C57" s="10" t="s">
        <v>4</v>
      </c>
      <c r="D57" s="78">
        <f>Лист3!C5</f>
        <v>7846.450000000001</v>
      </c>
      <c r="E57" s="78">
        <f>Лист3!D5</f>
        <v>7510.52</v>
      </c>
      <c r="F57" s="78">
        <f>Лист3!E5</f>
        <v>7919.81208</v>
      </c>
      <c r="G57" s="78">
        <f>Лист3!F5</f>
        <v>7852.14</v>
      </c>
      <c r="H57" s="78">
        <f>Лист3!G5</f>
        <v>8447.109999999999</v>
      </c>
      <c r="I57" s="78">
        <f>Лист3!H5</f>
        <v>8097.68</v>
      </c>
      <c r="J57" s="78">
        <f>Лист3!I5</f>
        <v>8917.81</v>
      </c>
      <c r="K57" s="78">
        <f>Лист3!J5</f>
        <v>8427.64</v>
      </c>
      <c r="L57" s="247">
        <f>Лист3!K5</f>
        <v>9428</v>
      </c>
      <c r="M57" s="20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7"/>
      <c r="AE57" s="29"/>
    </row>
    <row r="58" spans="2:30" ht="37.5">
      <c r="B58" s="279"/>
      <c r="C58" s="17" t="s">
        <v>77</v>
      </c>
      <c r="D58" s="256">
        <v>127.7</v>
      </c>
      <c r="E58" s="256">
        <v>101.61</v>
      </c>
      <c r="F58" s="256">
        <v>96.92</v>
      </c>
      <c r="G58" s="256">
        <v>99.86</v>
      </c>
      <c r="H58" s="256">
        <v>101.48</v>
      </c>
      <c r="I58" s="256">
        <v>99.93</v>
      </c>
      <c r="J58" s="256">
        <v>102.4</v>
      </c>
      <c r="K58" s="256">
        <v>100.95</v>
      </c>
      <c r="L58" s="256">
        <v>102.44</v>
      </c>
      <c r="M58" s="193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2:30" ht="18.75">
      <c r="B59" s="18" t="s">
        <v>0</v>
      </c>
      <c r="C59" s="10"/>
      <c r="D59" s="79"/>
      <c r="E59" s="79"/>
      <c r="F59" s="79"/>
      <c r="G59" s="79"/>
      <c r="H59" s="79"/>
      <c r="I59" s="79"/>
      <c r="J59" s="79"/>
      <c r="K59" s="79"/>
      <c r="L59" s="241"/>
      <c r="M59" s="203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2:30" ht="18.75">
      <c r="B60" s="279" t="s">
        <v>79</v>
      </c>
      <c r="C60" s="10" t="s">
        <v>4</v>
      </c>
      <c r="D60" s="78">
        <f>Лист3!C9</f>
        <v>3682.46</v>
      </c>
      <c r="E60" s="78">
        <f>Лист3!D9</f>
        <v>3843.75</v>
      </c>
      <c r="F60" s="78">
        <f>Лист3!E9</f>
        <v>3941.96</v>
      </c>
      <c r="G60" s="78">
        <f>Лист3!F9</f>
        <v>3900</v>
      </c>
      <c r="H60" s="78">
        <f>Лист3!G9</f>
        <v>4233.19</v>
      </c>
      <c r="I60" s="78">
        <f>Лист3!H9</f>
        <v>4087.2</v>
      </c>
      <c r="J60" s="78">
        <f>Лист3!I9</f>
        <v>4460</v>
      </c>
      <c r="K60" s="78">
        <f>Лист3!J9</f>
        <v>4291.56</v>
      </c>
      <c r="L60" s="78">
        <f>Лист3!K9</f>
        <v>4705</v>
      </c>
      <c r="M60" s="19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7"/>
    </row>
    <row r="61" spans="2:30" ht="37.5">
      <c r="B61" s="279"/>
      <c r="C61" s="17" t="s">
        <v>77</v>
      </c>
      <c r="D61" s="78">
        <v>112.31</v>
      </c>
      <c r="E61" s="78">
        <v>110.81</v>
      </c>
      <c r="F61" s="79">
        <v>94.26</v>
      </c>
      <c r="G61" s="79">
        <v>94.49</v>
      </c>
      <c r="H61" s="79">
        <v>102.18</v>
      </c>
      <c r="I61" s="79">
        <v>101.55</v>
      </c>
      <c r="J61" s="79">
        <v>102.19</v>
      </c>
      <c r="K61" s="79">
        <v>101.84</v>
      </c>
      <c r="L61" s="247">
        <v>102.22</v>
      </c>
      <c r="M61" s="195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2:30" ht="18.75">
      <c r="B62" s="279" t="s">
        <v>80</v>
      </c>
      <c r="C62" s="10" t="s">
        <v>4</v>
      </c>
      <c r="D62" s="78">
        <f>Лист3!C11</f>
        <v>3632.07</v>
      </c>
      <c r="E62" s="78">
        <f>Лист3!D11</f>
        <v>3121.86</v>
      </c>
      <c r="F62" s="78">
        <f>Лист3!E11</f>
        <v>3209.27208</v>
      </c>
      <c r="G62" s="78">
        <f>Лист3!F11</f>
        <v>3166</v>
      </c>
      <c r="H62" s="78">
        <f>Лист3!G11</f>
        <v>3420</v>
      </c>
      <c r="I62" s="78">
        <f>Лист3!H11</f>
        <v>3200</v>
      </c>
      <c r="J62" s="78">
        <f>Лист3!I11</f>
        <v>3635</v>
      </c>
      <c r="K62" s="78">
        <f>Лист3!J11</f>
        <v>3300</v>
      </c>
      <c r="L62" s="247">
        <f>Лист3!K11</f>
        <v>3870</v>
      </c>
      <c r="M62" s="195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7"/>
    </row>
    <row r="63" spans="2:30" ht="37.5">
      <c r="B63" s="279"/>
      <c r="C63" s="17" t="s">
        <v>77</v>
      </c>
      <c r="D63" s="78">
        <f>Лист3!C29</f>
        <v>121.86851964179519</v>
      </c>
      <c r="E63" s="78">
        <f>Лист3!D29</f>
        <v>88.24706219507289</v>
      </c>
      <c r="F63" s="79">
        <f>Лист3!E29</f>
        <v>102.39043824701196</v>
      </c>
      <c r="G63" s="79">
        <f>Лист3!F29</f>
        <v>94.94865675186287</v>
      </c>
      <c r="H63" s="79">
        <f>Лист3!G29</f>
        <v>102.46752087350409</v>
      </c>
      <c r="I63" s="79">
        <f>Лист3!H29</f>
        <v>97.65595197768562</v>
      </c>
      <c r="J63" s="79">
        <f>Лист3!I29</f>
        <v>102.59319469845785</v>
      </c>
      <c r="K63" s="79">
        <f>Лист3!J29</f>
        <v>99.6376811594203</v>
      </c>
      <c r="L63" s="247">
        <f>Лист3!K29</f>
        <v>102.66627227254581</v>
      </c>
      <c r="M63" s="195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2:30" ht="18.75">
      <c r="B64" s="279" t="s">
        <v>81</v>
      </c>
      <c r="C64" s="10" t="s">
        <v>4</v>
      </c>
      <c r="D64" s="78">
        <f>Лист3!C13</f>
        <v>531.92</v>
      </c>
      <c r="E64" s="78">
        <f>Лист3!D13</f>
        <v>544.91</v>
      </c>
      <c r="F64" s="78">
        <f>Лист3!E13</f>
        <v>768.58</v>
      </c>
      <c r="G64" s="78">
        <f>Лист3!F13</f>
        <v>786.14</v>
      </c>
      <c r="H64" s="78">
        <f>Лист3!G13</f>
        <v>793.92</v>
      </c>
      <c r="I64" s="78">
        <f>Лист3!H13</f>
        <v>810.48</v>
      </c>
      <c r="J64" s="78">
        <f>Лист3!I13</f>
        <v>822.81</v>
      </c>
      <c r="K64" s="78">
        <f>Лист3!J13</f>
        <v>836.0799999999999</v>
      </c>
      <c r="L64" s="247">
        <f>Лист3!K13</f>
        <v>853</v>
      </c>
      <c r="M64" s="195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7"/>
    </row>
    <row r="65" spans="2:30" ht="37.5">
      <c r="B65" s="279"/>
      <c r="C65" s="17" t="s">
        <v>77</v>
      </c>
      <c r="D65" s="257">
        <f>Лист3!C36</f>
        <v>100.45267155534322</v>
      </c>
      <c r="E65" s="79">
        <f>Лист3!D36</f>
        <v>101.42781837215156</v>
      </c>
      <c r="F65" s="79">
        <f>Лист3!E36</f>
        <v>136.6735905040289</v>
      </c>
      <c r="G65" s="79">
        <f>Лист3!F36</f>
        <v>98.35070469617294</v>
      </c>
      <c r="H65" s="79">
        <f>Лист3!G36</f>
        <v>99.32402812779611</v>
      </c>
      <c r="I65" s="79">
        <f>Лист3!H36</f>
        <v>99.13090445819984</v>
      </c>
      <c r="J65" s="79">
        <f>Лист3!I36</f>
        <v>99.6527939261464</v>
      </c>
      <c r="K65" s="79">
        <f>Лист3!J36</f>
        <v>99.19098274147132</v>
      </c>
      <c r="L65" s="258">
        <f>Лист3!K36</f>
        <v>99.68185944413749</v>
      </c>
      <c r="M65" s="204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2:30" ht="18.75">
      <c r="B66" s="279" t="s">
        <v>82</v>
      </c>
      <c r="C66" s="10" t="s">
        <v>83</v>
      </c>
      <c r="D66" s="78">
        <v>435</v>
      </c>
      <c r="E66" s="259">
        <v>477</v>
      </c>
      <c r="F66" s="259">
        <v>526</v>
      </c>
      <c r="G66" s="259">
        <v>596</v>
      </c>
      <c r="H66" s="259">
        <f>Лист3!G106</f>
        <v>4405</v>
      </c>
      <c r="I66" s="259">
        <f>Лист3!H106</f>
        <v>666</v>
      </c>
      <c r="J66" s="259">
        <f>Лист3!I106</f>
        <v>736</v>
      </c>
      <c r="K66" s="259">
        <f>Лист3!J106</f>
        <v>736</v>
      </c>
      <c r="L66" s="259">
        <f>Лист3!K106</f>
        <v>806</v>
      </c>
      <c r="M66" s="205"/>
      <c r="P66" s="124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2:30" ht="18.75">
      <c r="B67" s="279"/>
      <c r="C67" s="10" t="s">
        <v>42</v>
      </c>
      <c r="D67" s="78">
        <v>40</v>
      </c>
      <c r="E67" s="78">
        <f>E66/D66*100</f>
        <v>109.6551724137931</v>
      </c>
      <c r="F67" s="78">
        <f>F66/E66*100</f>
        <v>110.27253668763102</v>
      </c>
      <c r="G67" s="78">
        <f>G66/F66*100</f>
        <v>113.30798479087451</v>
      </c>
      <c r="H67" s="78">
        <f>Лист3!G107</f>
        <v>837.4524714828898</v>
      </c>
      <c r="I67" s="78">
        <f>Лист3!H107</f>
        <v>111.74496644295301</v>
      </c>
      <c r="J67" s="78">
        <f>Лист3!I107</f>
        <v>16.708286038592508</v>
      </c>
      <c r="K67" s="78">
        <f>Лист3!J107</f>
        <v>110.5105105105105</v>
      </c>
      <c r="L67" s="78">
        <f>Лист3!K107</f>
        <v>109.51086956521738</v>
      </c>
      <c r="M67" s="20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2:13" ht="18.75">
      <c r="B68" s="9" t="s">
        <v>107</v>
      </c>
      <c r="C68" s="17"/>
      <c r="D68" s="80"/>
      <c r="E68" s="80"/>
      <c r="F68" s="80"/>
      <c r="G68" s="80"/>
      <c r="H68" s="80"/>
      <c r="I68" s="80"/>
      <c r="J68" s="80"/>
      <c r="K68" s="80"/>
      <c r="L68" s="240"/>
      <c r="M68" s="199"/>
    </row>
    <row r="69" spans="2:16" ht="37.5">
      <c r="B69" s="45" t="s">
        <v>115</v>
      </c>
      <c r="C69" s="10" t="s">
        <v>4</v>
      </c>
      <c r="D69" s="78">
        <v>23.96</v>
      </c>
      <c r="E69" s="78">
        <v>22.61</v>
      </c>
      <c r="F69" s="79">
        <v>20.72</v>
      </c>
      <c r="G69" s="79">
        <v>22.67</v>
      </c>
      <c r="H69" s="79">
        <v>22.84</v>
      </c>
      <c r="I69" s="260">
        <v>22.25</v>
      </c>
      <c r="J69" s="79">
        <v>22.9</v>
      </c>
      <c r="K69" s="260">
        <v>22</v>
      </c>
      <c r="L69" s="258">
        <v>22.69</v>
      </c>
      <c r="M69" s="199"/>
      <c r="P69" s="29"/>
    </row>
    <row r="70" spans="2:16" ht="37.5">
      <c r="B70" s="45" t="s">
        <v>116</v>
      </c>
      <c r="C70" s="10" t="s">
        <v>4</v>
      </c>
      <c r="D70" s="78">
        <v>17.89</v>
      </c>
      <c r="E70" s="78">
        <v>8.46</v>
      </c>
      <c r="F70" s="79">
        <v>8.17</v>
      </c>
      <c r="G70" s="79">
        <v>8</v>
      </c>
      <c r="H70" s="79">
        <v>8.18</v>
      </c>
      <c r="I70" s="260">
        <v>8.2</v>
      </c>
      <c r="J70" s="79">
        <v>8.6</v>
      </c>
      <c r="K70" s="260">
        <v>7</v>
      </c>
      <c r="L70" s="248">
        <v>7.33</v>
      </c>
      <c r="M70" s="199"/>
      <c r="P70" s="29"/>
    </row>
    <row r="71" spans="2:13" ht="18.75">
      <c r="B71" s="9" t="s">
        <v>108</v>
      </c>
      <c r="C71" s="17"/>
      <c r="D71" s="79"/>
      <c r="E71" s="79"/>
      <c r="F71" s="79"/>
      <c r="G71" s="79"/>
      <c r="H71" s="79"/>
      <c r="I71" s="79"/>
      <c r="J71" s="79"/>
      <c r="K71" s="79"/>
      <c r="L71" s="240"/>
      <c r="M71" s="199"/>
    </row>
    <row r="72" spans="2:16" ht="37.5">
      <c r="B72" s="19" t="s">
        <v>84</v>
      </c>
      <c r="C72" s="10" t="s">
        <v>110</v>
      </c>
      <c r="D72" s="259">
        <f>'[3]Прогноз'!E72</f>
        <v>520.821</v>
      </c>
      <c r="E72" s="259">
        <f>инв!D196</f>
        <v>594.8</v>
      </c>
      <c r="F72" s="259">
        <f>инв!E196</f>
        <v>602.4000000000001</v>
      </c>
      <c r="G72" s="259">
        <f>инв!F196</f>
        <v>438.528</v>
      </c>
      <c r="H72" s="257">
        <f>инв!G196</f>
        <v>791.1090000000002</v>
      </c>
      <c r="I72" s="257">
        <f>инв!H196</f>
        <v>465.385</v>
      </c>
      <c r="J72" s="257">
        <f>инв!I196</f>
        <v>889.54</v>
      </c>
      <c r="K72" s="257">
        <f>инв!J196</f>
        <v>498.558</v>
      </c>
      <c r="L72" s="258">
        <f>инв!K196</f>
        <v>984.3030000000001</v>
      </c>
      <c r="M72" s="204"/>
      <c r="P72" s="29"/>
    </row>
    <row r="73" spans="2:13" ht="37.5">
      <c r="B73" s="11" t="s">
        <v>85</v>
      </c>
      <c r="C73" s="10" t="s">
        <v>1</v>
      </c>
      <c r="D73" s="78">
        <f>'[3]Прогноз'!E73</f>
        <v>69.55859697873437</v>
      </c>
      <c r="E73" s="78">
        <f>инв!D197</f>
        <v>106.93307456536054</v>
      </c>
      <c r="F73" s="78">
        <f>инв!E197</f>
        <v>95.36510397075979</v>
      </c>
      <c r="G73" s="78">
        <f>инв!F197</f>
        <v>69.39638965586653</v>
      </c>
      <c r="H73" s="79">
        <f>инв!G197</f>
        <v>124.95356348156376</v>
      </c>
      <c r="I73" s="79">
        <f>инв!H197</f>
        <v>101.4573158497777</v>
      </c>
      <c r="J73" s="79">
        <f>инв!I197</f>
        <v>107.29213166879204</v>
      </c>
      <c r="K73" s="79">
        <f>инв!J197</f>
        <v>102.31907999394038</v>
      </c>
      <c r="L73" s="258">
        <f>инв!K197</f>
        <v>105.6858014827921</v>
      </c>
      <c r="M73" s="204"/>
    </row>
    <row r="74" spans="2:13" ht="37.5">
      <c r="B74" s="11" t="s">
        <v>86</v>
      </c>
      <c r="C74" s="20"/>
      <c r="D74" s="79"/>
      <c r="E74" s="79"/>
      <c r="F74" s="79"/>
      <c r="G74" s="79"/>
      <c r="H74" s="79"/>
      <c r="I74" s="79"/>
      <c r="J74" s="79"/>
      <c r="K74" s="79"/>
      <c r="L74" s="258"/>
      <c r="M74" s="204"/>
    </row>
    <row r="75" spans="2:13" ht="18.75">
      <c r="B75" s="11" t="s">
        <v>87</v>
      </c>
      <c r="C75" s="10" t="s">
        <v>4</v>
      </c>
      <c r="D75" s="78">
        <f>'[3]Прогноз'!E75</f>
        <v>471.782</v>
      </c>
      <c r="E75" s="79">
        <f>инв!D200</f>
        <v>346.8</v>
      </c>
      <c r="F75" s="79">
        <f>инв!E200</f>
        <v>404.6</v>
      </c>
      <c r="G75" s="79">
        <f>инв!F200</f>
        <v>241.40800000000002</v>
      </c>
      <c r="H75" s="79">
        <f>инв!G200</f>
        <v>520.2470000000001</v>
      </c>
      <c r="I75" s="79">
        <f>инв!H200</f>
        <v>248.26500000000001</v>
      </c>
      <c r="J75" s="79">
        <f>инв!I200</f>
        <v>498.932</v>
      </c>
      <c r="K75" s="79">
        <f>инв!J200</f>
        <v>261.438</v>
      </c>
      <c r="L75" s="258">
        <f>инв!K200</f>
        <v>383.354</v>
      </c>
      <c r="M75" s="204"/>
    </row>
    <row r="76" spans="2:13" ht="18.75">
      <c r="B76" s="11" t="s">
        <v>88</v>
      </c>
      <c r="C76" s="10"/>
      <c r="D76" s="79">
        <f>'[3]Прогноз'!E76</f>
        <v>0</v>
      </c>
      <c r="E76" s="5"/>
      <c r="F76" s="5"/>
      <c r="G76" s="5"/>
      <c r="H76" s="5"/>
      <c r="I76" s="5"/>
      <c r="J76" s="5"/>
      <c r="K76" s="5"/>
      <c r="L76" s="5"/>
      <c r="M76" s="102"/>
    </row>
    <row r="77" spans="2:13" ht="18.75">
      <c r="B77" s="11" t="s">
        <v>89</v>
      </c>
      <c r="C77" s="10" t="s">
        <v>4</v>
      </c>
      <c r="D77" s="78">
        <f>'[3]Прогноз'!E77</f>
        <v>152.896</v>
      </c>
      <c r="E77" s="78">
        <f>инв!D202</f>
        <v>70</v>
      </c>
      <c r="F77" s="78">
        <f>инв!E202</f>
        <v>0</v>
      </c>
      <c r="G77" s="78">
        <f>инв!F202</f>
        <v>3</v>
      </c>
      <c r="H77" s="79">
        <f>инв!G202</f>
        <v>181.263</v>
      </c>
      <c r="I77" s="79">
        <f>инв!H202</f>
        <v>3</v>
      </c>
      <c r="J77" s="79">
        <f>инв!I202</f>
        <v>151.787</v>
      </c>
      <c r="K77" s="79">
        <f>инв!J202</f>
        <v>3</v>
      </c>
      <c r="L77" s="258">
        <f>инв!K202</f>
        <v>110.246</v>
      </c>
      <c r="M77" s="204"/>
    </row>
    <row r="78" spans="2:13" ht="18.75">
      <c r="B78" s="11" t="s">
        <v>90</v>
      </c>
      <c r="C78" s="10" t="s">
        <v>4</v>
      </c>
      <c r="D78" s="78">
        <f>'[3]Прогноз'!E78</f>
        <v>318.886</v>
      </c>
      <c r="E78" s="78">
        <f>инв!D203</f>
        <v>276.8</v>
      </c>
      <c r="F78" s="78">
        <f>инв!E203</f>
        <v>404.6</v>
      </c>
      <c r="G78" s="78">
        <f>инв!F203</f>
        <v>238.40800000000002</v>
      </c>
      <c r="H78" s="79">
        <f>инв!G203</f>
        <v>338.98400000000004</v>
      </c>
      <c r="I78" s="79">
        <f>инв!H203</f>
        <v>245.26500000000001</v>
      </c>
      <c r="J78" s="79">
        <f>инв!I203</f>
        <v>347.145</v>
      </c>
      <c r="K78" s="79">
        <f>инв!J203</f>
        <v>258.438</v>
      </c>
      <c r="L78" s="258">
        <f>инв!K203</f>
        <v>273.108</v>
      </c>
      <c r="M78" s="204"/>
    </row>
    <row r="79" spans="2:13" ht="18.75">
      <c r="B79" s="11" t="s">
        <v>91</v>
      </c>
      <c r="C79" s="10" t="s">
        <v>4</v>
      </c>
      <c r="D79" s="78">
        <f>'[3]Прогноз'!E79</f>
        <v>49.039</v>
      </c>
      <c r="E79" s="79">
        <f>инв!D204</f>
        <v>248</v>
      </c>
      <c r="F79" s="79">
        <f>инв!E204</f>
        <v>342.3</v>
      </c>
      <c r="G79" s="79">
        <f>инв!F204</f>
        <v>197.12</v>
      </c>
      <c r="H79" s="79">
        <f>инв!G204</f>
        <v>270.862</v>
      </c>
      <c r="I79" s="79">
        <f>инв!H204</f>
        <v>217.12</v>
      </c>
      <c r="J79" s="79">
        <f>инв!I204</f>
        <v>390.608</v>
      </c>
      <c r="K79" s="79">
        <f>инв!J204</f>
        <v>237.12</v>
      </c>
      <c r="L79" s="258">
        <f>инв!K204</f>
        <v>600.9490000000001</v>
      </c>
      <c r="M79" s="204"/>
    </row>
    <row r="80" spans="2:13" ht="18.75">
      <c r="B80" s="11" t="s">
        <v>88</v>
      </c>
      <c r="C80" s="10"/>
      <c r="D80" s="79">
        <f>'[3]Прогноз'!E80</f>
        <v>0</v>
      </c>
      <c r="E80" s="78">
        <f>инв!D205</f>
        <v>0</v>
      </c>
      <c r="F80" s="78">
        <f>инв!E205</f>
        <v>0</v>
      </c>
      <c r="G80" s="78">
        <f>инв!F205</f>
        <v>0</v>
      </c>
      <c r="H80" s="79">
        <f>инв!G205</f>
        <v>0</v>
      </c>
      <c r="I80" s="79">
        <f>инв!H205</f>
        <v>0</v>
      </c>
      <c r="J80" s="79">
        <f>инв!I205</f>
        <v>0</v>
      </c>
      <c r="K80" s="79">
        <f>инв!J205</f>
        <v>0</v>
      </c>
      <c r="L80" s="258">
        <f>инв!K205</f>
        <v>0</v>
      </c>
      <c r="M80" s="204"/>
    </row>
    <row r="81" spans="2:13" ht="18.75">
      <c r="B81" s="11" t="s">
        <v>92</v>
      </c>
      <c r="C81" s="10" t="s">
        <v>4</v>
      </c>
      <c r="D81" s="78">
        <f>'[3]Прогноз'!E81</f>
        <v>0</v>
      </c>
      <c r="E81" s="78">
        <f>инв!D206</f>
        <v>0</v>
      </c>
      <c r="F81" s="78">
        <f>инв!E206</f>
        <v>0</v>
      </c>
      <c r="G81" s="78">
        <f>инв!F206</f>
        <v>0</v>
      </c>
      <c r="H81" s="78">
        <f>инв!G206</f>
        <v>0</v>
      </c>
      <c r="I81" s="78">
        <f>инв!H206</f>
        <v>0</v>
      </c>
      <c r="J81" s="78">
        <f>инв!I206</f>
        <v>0</v>
      </c>
      <c r="K81" s="78">
        <f>инв!J206</f>
        <v>0</v>
      </c>
      <c r="L81" s="258">
        <f>инв!K206</f>
        <v>0</v>
      </c>
      <c r="M81" s="204"/>
    </row>
    <row r="82" spans="1:13" ht="18.75">
      <c r="A82" s="4"/>
      <c r="B82" s="11" t="s">
        <v>93</v>
      </c>
      <c r="C82" s="10" t="s">
        <v>4</v>
      </c>
      <c r="D82" s="78">
        <f>'[3]Прогноз'!E82</f>
        <v>0</v>
      </c>
      <c r="E82" s="78">
        <f>инв!D207</f>
        <v>0</v>
      </c>
      <c r="F82" s="78">
        <f>инв!E207</f>
        <v>0</v>
      </c>
      <c r="G82" s="78">
        <f>инв!F207</f>
        <v>0</v>
      </c>
      <c r="H82" s="78">
        <f>инв!G207</f>
        <v>0</v>
      </c>
      <c r="I82" s="78">
        <f>инв!H207</f>
        <v>0</v>
      </c>
      <c r="J82" s="78">
        <f>инв!I207</f>
        <v>0</v>
      </c>
      <c r="K82" s="78">
        <f>инв!J207</f>
        <v>0</v>
      </c>
      <c r="L82" s="258">
        <f>инв!K207</f>
        <v>0</v>
      </c>
      <c r="M82" s="204"/>
    </row>
    <row r="83" spans="2:13" ht="18.75">
      <c r="B83" s="11" t="s">
        <v>94</v>
      </c>
      <c r="C83" s="10" t="s">
        <v>4</v>
      </c>
      <c r="D83" s="78">
        <f>'[3]Прогноз'!E83</f>
        <v>0.395</v>
      </c>
      <c r="E83" s="78">
        <f>инв!D208</f>
        <v>19.9</v>
      </c>
      <c r="F83" s="78">
        <f>инв!E208</f>
        <v>0</v>
      </c>
      <c r="G83" s="78">
        <f>инв!F208</f>
        <v>0</v>
      </c>
      <c r="H83" s="79">
        <f>инв!G208</f>
        <v>0</v>
      </c>
      <c r="I83" s="79">
        <f>инв!H208</f>
        <v>0</v>
      </c>
      <c r="J83" s="79">
        <f>инв!I208</f>
        <v>0</v>
      </c>
      <c r="K83" s="79">
        <f>инв!J208</f>
        <v>0</v>
      </c>
      <c r="L83" s="258">
        <f>инв!K208</f>
        <v>0</v>
      </c>
      <c r="M83" s="204"/>
    </row>
    <row r="84" spans="2:13" ht="18.75">
      <c r="B84" s="11" t="s">
        <v>95</v>
      </c>
      <c r="C84" s="3" t="s">
        <v>4</v>
      </c>
      <c r="D84" s="78">
        <f>'[3]Прогноз'!E84</f>
        <v>47.316</v>
      </c>
      <c r="E84" s="78">
        <f>инв!D209</f>
        <v>220.6</v>
      </c>
      <c r="F84" s="78">
        <f>инв!E209</f>
        <v>197.8</v>
      </c>
      <c r="G84" s="78">
        <f>инв!F209</f>
        <v>20</v>
      </c>
      <c r="H84" s="79">
        <f>инв!G209</f>
        <v>270.862</v>
      </c>
      <c r="I84" s="79">
        <f>инв!H209</f>
        <v>40</v>
      </c>
      <c r="J84" s="79">
        <f>инв!I209</f>
        <v>390.608</v>
      </c>
      <c r="K84" s="79">
        <f>инв!J209</f>
        <v>60</v>
      </c>
      <c r="L84" s="258">
        <f>инв!K209</f>
        <v>443.749</v>
      </c>
      <c r="M84" s="204"/>
    </row>
    <row r="85" spans="2:13" ht="18.75">
      <c r="B85" s="11" t="s">
        <v>96</v>
      </c>
      <c r="C85" s="3"/>
      <c r="D85" s="78"/>
      <c r="E85" s="78"/>
      <c r="F85" s="78"/>
      <c r="G85" s="78"/>
      <c r="H85" s="79"/>
      <c r="I85" s="79"/>
      <c r="J85" s="79"/>
      <c r="K85" s="79"/>
      <c r="L85" s="258"/>
      <c r="M85" s="204"/>
    </row>
    <row r="86" spans="2:13" ht="18.75">
      <c r="B86" s="11" t="s">
        <v>97</v>
      </c>
      <c r="C86" s="10" t="s">
        <v>4</v>
      </c>
      <c r="D86" s="78">
        <f>'[3]Прогноз'!E86</f>
        <v>3.162</v>
      </c>
      <c r="E86" s="78">
        <f>инв!D211</f>
        <v>4.1</v>
      </c>
      <c r="F86" s="78">
        <f>инв!E211</f>
        <v>0</v>
      </c>
      <c r="G86" s="78">
        <f>инв!F211</f>
        <v>0</v>
      </c>
      <c r="H86" s="79">
        <f>инв!G211</f>
        <v>0</v>
      </c>
      <c r="I86" s="79">
        <f>инв!H211</f>
        <v>31.8</v>
      </c>
      <c r="J86" s="79">
        <f>инв!I211</f>
        <v>208.79600000000002</v>
      </c>
      <c r="K86" s="79">
        <f>инв!J211</f>
        <v>31.8</v>
      </c>
      <c r="L86" s="258">
        <f>инв!K211</f>
        <v>337.66700000000003</v>
      </c>
      <c r="M86" s="204"/>
    </row>
    <row r="87" spans="2:13" ht="18.75">
      <c r="B87" s="11" t="s">
        <v>98</v>
      </c>
      <c r="C87" s="10" t="s">
        <v>4</v>
      </c>
      <c r="D87" s="78">
        <f>'[3]Прогноз'!E87</f>
        <v>31.085</v>
      </c>
      <c r="E87" s="78">
        <f>инв!D212</f>
        <v>189.7</v>
      </c>
      <c r="F87" s="78">
        <f>инв!E212</f>
        <v>32.6</v>
      </c>
      <c r="G87" s="78">
        <f>инв!F212</f>
        <v>20</v>
      </c>
      <c r="H87" s="79">
        <f>инв!G212</f>
        <v>270.862</v>
      </c>
      <c r="I87" s="79">
        <f>инв!H212</f>
        <v>6.5</v>
      </c>
      <c r="J87" s="79">
        <f>инв!I212</f>
        <v>180.112</v>
      </c>
      <c r="K87" s="79">
        <f>инв!J212</f>
        <v>26.5</v>
      </c>
      <c r="L87" s="258">
        <f>инв!K212</f>
        <v>104.382</v>
      </c>
      <c r="M87" s="204"/>
    </row>
    <row r="88" spans="2:13" ht="18.75">
      <c r="B88" s="11" t="s">
        <v>99</v>
      </c>
      <c r="C88" s="10" t="s">
        <v>4</v>
      </c>
      <c r="D88" s="78">
        <f>'[3]Прогноз'!E88</f>
        <v>13.069</v>
      </c>
      <c r="E88" s="78">
        <f>инв!D213</f>
        <v>26.8</v>
      </c>
      <c r="F88" s="78">
        <f>инв!E213</f>
        <v>20.7</v>
      </c>
      <c r="G88" s="78">
        <f>инв!F213</f>
        <v>0</v>
      </c>
      <c r="H88" s="79">
        <f>инв!G213</f>
        <v>0</v>
      </c>
      <c r="I88" s="79">
        <f>инв!H213</f>
        <v>1.7</v>
      </c>
      <c r="J88" s="79">
        <f>инв!I213</f>
        <v>1.7</v>
      </c>
      <c r="K88" s="79">
        <f>инв!J213</f>
        <v>1.7</v>
      </c>
      <c r="L88" s="258">
        <f>инв!K213</f>
        <v>1.7</v>
      </c>
      <c r="M88" s="204"/>
    </row>
    <row r="89" spans="2:13" ht="18.75">
      <c r="B89" s="11" t="s">
        <v>100</v>
      </c>
      <c r="C89" s="10" t="s">
        <v>4</v>
      </c>
      <c r="D89" s="78">
        <f>'[3]Прогноз'!E89</f>
        <v>0.483</v>
      </c>
      <c r="E89" s="78">
        <f>инв!D214</f>
        <v>0.9</v>
      </c>
      <c r="F89" s="78">
        <f>инв!E214</f>
        <v>144.5</v>
      </c>
      <c r="G89" s="78">
        <f>инв!F214</f>
        <v>100</v>
      </c>
      <c r="H89" s="78">
        <f>инв!G214</f>
        <v>0</v>
      </c>
      <c r="I89" s="78">
        <f>инв!H214</f>
        <v>100</v>
      </c>
      <c r="J89" s="78">
        <f>инв!I214</f>
        <v>0</v>
      </c>
      <c r="K89" s="78">
        <f>инв!J214</f>
        <v>100</v>
      </c>
      <c r="L89" s="258">
        <f>инв!K214</f>
        <v>80</v>
      </c>
      <c r="M89" s="204"/>
    </row>
    <row r="90" spans="2:13" ht="18.75">
      <c r="B90" s="11" t="s">
        <v>101</v>
      </c>
      <c r="C90" s="10" t="s">
        <v>4</v>
      </c>
      <c r="D90" s="78">
        <f>'[3]Прогноз'!E90</f>
        <v>0.845</v>
      </c>
      <c r="E90" s="78">
        <f>инв!D215</f>
        <v>6.6</v>
      </c>
      <c r="F90" s="78">
        <f>инв!E215</f>
        <v>0</v>
      </c>
      <c r="G90" s="78">
        <f>инв!F215</f>
        <v>77.12</v>
      </c>
      <c r="H90" s="79">
        <f>инв!G215</f>
        <v>0</v>
      </c>
      <c r="I90" s="79">
        <f>инв!H215</f>
        <v>77.12</v>
      </c>
      <c r="J90" s="79">
        <f>инв!I215</f>
        <v>0</v>
      </c>
      <c r="K90" s="79">
        <f>инв!J215</f>
        <v>77.12</v>
      </c>
      <c r="L90" s="258">
        <f>инв!K215</f>
        <v>77.2</v>
      </c>
      <c r="M90" s="204"/>
    </row>
    <row r="91" spans="2:13" ht="18.75">
      <c r="B91" s="21" t="s">
        <v>109</v>
      </c>
      <c r="C91" s="22"/>
      <c r="D91" s="79"/>
      <c r="E91" s="79"/>
      <c r="F91" s="79"/>
      <c r="G91" s="79"/>
      <c r="H91" s="79"/>
      <c r="I91" s="79"/>
      <c r="J91" s="79"/>
      <c r="K91" s="79"/>
      <c r="L91" s="240"/>
      <c r="M91" s="196"/>
    </row>
    <row r="92" spans="2:13" ht="37.5">
      <c r="B92" s="23" t="s">
        <v>7</v>
      </c>
      <c r="C92" s="24" t="s">
        <v>3</v>
      </c>
      <c r="D92" s="79">
        <f>'[1]Лист1'!C87</f>
        <v>2.235</v>
      </c>
      <c r="E92" s="79">
        <v>2.23</v>
      </c>
      <c r="F92" s="79">
        <v>2.15</v>
      </c>
      <c r="G92" s="79">
        <v>1.965</v>
      </c>
      <c r="H92" s="79">
        <v>1.985</v>
      </c>
      <c r="I92" s="79">
        <v>1.836</v>
      </c>
      <c r="J92" s="79">
        <v>1.876</v>
      </c>
      <c r="K92" s="79">
        <v>1.711</v>
      </c>
      <c r="L92" s="79">
        <v>1.771</v>
      </c>
      <c r="M92" s="191"/>
    </row>
    <row r="93" spans="2:13" ht="75">
      <c r="B93" s="23" t="s">
        <v>8</v>
      </c>
      <c r="C93" s="24" t="s">
        <v>3</v>
      </c>
      <c r="D93" s="79">
        <f>'[1]Лист1'!C88</f>
        <v>4.628</v>
      </c>
      <c r="E93" s="79">
        <v>4.65</v>
      </c>
      <c r="F93" s="79">
        <v>4.64</v>
      </c>
      <c r="G93" s="79">
        <v>4.61</v>
      </c>
      <c r="H93" s="79">
        <v>4.66</v>
      </c>
      <c r="I93" s="79">
        <v>4.57</v>
      </c>
      <c r="J93" s="79">
        <v>4.66</v>
      </c>
      <c r="K93" s="79">
        <v>4.49</v>
      </c>
      <c r="L93" s="79">
        <v>4.62</v>
      </c>
      <c r="M93" s="191"/>
    </row>
    <row r="94" spans="2:13" ht="18.75">
      <c r="B94" s="23" t="s">
        <v>9</v>
      </c>
      <c r="C94" s="22" t="s">
        <v>3</v>
      </c>
      <c r="D94" s="79">
        <f>'[1]Лист1'!C89</f>
        <v>4.628</v>
      </c>
      <c r="E94" s="79">
        <v>4.65</v>
      </c>
      <c r="F94" s="79">
        <v>4.64</v>
      </c>
      <c r="G94" s="79">
        <v>4.61</v>
      </c>
      <c r="H94" s="79">
        <v>4.66</v>
      </c>
      <c r="I94" s="79">
        <v>4.57</v>
      </c>
      <c r="J94" s="79">
        <v>4.66</v>
      </c>
      <c r="K94" s="79">
        <v>4.49</v>
      </c>
      <c r="L94" s="79">
        <v>4.62</v>
      </c>
      <c r="M94" s="191"/>
    </row>
    <row r="95" spans="2:13" ht="18.75">
      <c r="B95" s="25" t="s">
        <v>10</v>
      </c>
      <c r="C95" s="24" t="s">
        <v>3</v>
      </c>
      <c r="D95" s="78">
        <f>'[1]Лист1'!C90</f>
        <v>0</v>
      </c>
      <c r="E95" s="78">
        <f>'[1]Лист1'!E90</f>
        <v>0</v>
      </c>
      <c r="F95" s="78">
        <f>'[1]Лист1'!F90</f>
        <v>0</v>
      </c>
      <c r="G95" s="78">
        <f>'[1]Лист1'!G90</f>
        <v>0</v>
      </c>
      <c r="H95" s="78">
        <f>'[1]Лист1'!H90</f>
        <v>0</v>
      </c>
      <c r="I95" s="78">
        <f>'[1]Лист1'!I90</f>
        <v>0</v>
      </c>
      <c r="J95" s="78">
        <f>'[1]Лист1'!J90</f>
        <v>0</v>
      </c>
      <c r="K95" s="78">
        <f>'[1]Лист1'!K90</f>
        <v>0</v>
      </c>
      <c r="L95" s="78">
        <f>'[1]Лист1'!L90</f>
        <v>0</v>
      </c>
      <c r="M95" s="193"/>
    </row>
    <row r="96" spans="2:13" ht="37.5">
      <c r="B96" s="23" t="s">
        <v>11</v>
      </c>
      <c r="C96" s="24" t="s">
        <v>3</v>
      </c>
      <c r="D96" s="261">
        <f>'[1]Лист1'!C91</f>
        <v>0</v>
      </c>
      <c r="E96" s="261">
        <f>'[1]Лист1'!E91</f>
        <v>0</v>
      </c>
      <c r="F96" s="261">
        <f>'[1]Лист1'!F91</f>
        <v>0</v>
      </c>
      <c r="G96" s="261">
        <f>'[1]Лист1'!G91</f>
        <v>0</v>
      </c>
      <c r="H96" s="261">
        <f>'[1]Лист1'!H91</f>
        <v>0</v>
      </c>
      <c r="I96" s="261">
        <f>'[1]Лист1'!I91</f>
        <v>0</v>
      </c>
      <c r="J96" s="261">
        <f>'[1]Лист1'!J91</f>
        <v>0</v>
      </c>
      <c r="K96" s="261">
        <f>'[1]Лист1'!K91</f>
        <v>0</v>
      </c>
      <c r="L96" s="261">
        <f>'[1]Лист1'!L91</f>
        <v>0</v>
      </c>
      <c r="M96" s="207"/>
    </row>
    <row r="97" spans="2:13" ht="56.25">
      <c r="B97" s="23" t="s">
        <v>12</v>
      </c>
      <c r="C97" s="24" t="s">
        <v>3</v>
      </c>
      <c r="D97" s="79">
        <f>'[1]Лист1'!C92</f>
        <v>0.6789999999999999</v>
      </c>
      <c r="E97" s="79">
        <f>'[1]Лист1'!E92</f>
        <v>0.78</v>
      </c>
      <c r="F97" s="79">
        <v>0.86</v>
      </c>
      <c r="G97" s="79">
        <v>0.81</v>
      </c>
      <c r="H97" s="79">
        <v>0.86</v>
      </c>
      <c r="I97" s="79">
        <v>0.82</v>
      </c>
      <c r="J97" s="79">
        <v>0.87</v>
      </c>
      <c r="K97" s="79">
        <v>0.84</v>
      </c>
      <c r="L97" s="79">
        <v>0.88</v>
      </c>
      <c r="M97" s="191"/>
    </row>
    <row r="98" spans="2:13" ht="37.5">
      <c r="B98" s="23" t="s">
        <v>13</v>
      </c>
      <c r="C98" s="24" t="s">
        <v>3</v>
      </c>
      <c r="D98" s="79">
        <f>'[1]Лист1'!C93</f>
        <v>0.6789999999999999</v>
      </c>
      <c r="E98" s="79">
        <f>'[1]Лист1'!E93</f>
        <v>0.78</v>
      </c>
      <c r="F98" s="79">
        <v>0.86</v>
      </c>
      <c r="G98" s="79">
        <v>0.81</v>
      </c>
      <c r="H98" s="79">
        <v>0.86</v>
      </c>
      <c r="I98" s="79">
        <v>0.82</v>
      </c>
      <c r="J98" s="79">
        <v>0.87</v>
      </c>
      <c r="K98" s="79">
        <v>0.84</v>
      </c>
      <c r="L98" s="79">
        <v>0.88</v>
      </c>
      <c r="M98" s="191"/>
    </row>
    <row r="99" spans="2:20" ht="56.25">
      <c r="B99" s="23" t="s">
        <v>14</v>
      </c>
      <c r="C99" s="24" t="s">
        <v>3</v>
      </c>
      <c r="D99" s="79">
        <v>0.5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191"/>
      <c r="P99" s="100"/>
      <c r="Q99" s="101"/>
      <c r="R99" s="101"/>
      <c r="S99" s="101"/>
      <c r="T99" s="101"/>
    </row>
    <row r="100" spans="2:20" ht="37.5">
      <c r="B100" s="23" t="s">
        <v>13</v>
      </c>
      <c r="C100" s="24" t="s">
        <v>3</v>
      </c>
      <c r="D100" s="79">
        <v>0.5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0</v>
      </c>
      <c r="M100" s="191"/>
      <c r="P100" s="101"/>
      <c r="Q100" s="101"/>
      <c r="R100" s="101"/>
      <c r="S100" s="101"/>
      <c r="T100" s="101"/>
    </row>
    <row r="101" spans="2:20" ht="18.75">
      <c r="B101" s="26" t="s">
        <v>15</v>
      </c>
      <c r="C101" s="22" t="s">
        <v>6</v>
      </c>
      <c r="D101" s="79"/>
      <c r="E101" s="79"/>
      <c r="F101" s="262"/>
      <c r="G101" s="262"/>
      <c r="H101" s="262"/>
      <c r="I101" s="262"/>
      <c r="J101" s="262"/>
      <c r="K101" s="262"/>
      <c r="L101" s="240"/>
      <c r="M101" s="199"/>
      <c r="P101" s="101"/>
      <c r="Q101" s="101"/>
      <c r="R101" s="101"/>
      <c r="S101" s="101"/>
      <c r="T101" s="101"/>
    </row>
    <row r="102" spans="2:20" ht="37.5">
      <c r="B102" s="23" t="s">
        <v>16</v>
      </c>
      <c r="C102" s="24" t="s">
        <v>3</v>
      </c>
      <c r="D102" s="79">
        <f>'[1]Лист1'!C97</f>
        <v>0.1916</v>
      </c>
      <c r="E102" s="246">
        <f>'[1]Лист1'!E97</f>
        <v>0.099</v>
      </c>
      <c r="F102" s="246">
        <v>0.162</v>
      </c>
      <c r="G102" s="246">
        <v>0.18</v>
      </c>
      <c r="H102" s="246">
        <v>0.207</v>
      </c>
      <c r="I102" s="246">
        <v>0.15</v>
      </c>
      <c r="J102" s="246">
        <v>0.165</v>
      </c>
      <c r="K102" s="246">
        <v>0.2</v>
      </c>
      <c r="L102" s="246">
        <v>0.25</v>
      </c>
      <c r="M102" s="208"/>
      <c r="P102" s="100"/>
      <c r="Q102" s="101"/>
      <c r="R102" s="101"/>
      <c r="S102" s="101"/>
      <c r="T102" s="101"/>
    </row>
    <row r="103" spans="2:13" ht="37.5">
      <c r="B103" s="23" t="s">
        <v>17</v>
      </c>
      <c r="C103" s="24" t="s">
        <v>3</v>
      </c>
      <c r="D103" s="79">
        <f>'[1]Лист1'!C98</f>
        <v>0.009</v>
      </c>
      <c r="E103" s="79">
        <f>'[1]Лист1'!E98</f>
        <v>0</v>
      </c>
      <c r="F103" s="79">
        <v>0</v>
      </c>
      <c r="G103" s="79">
        <v>0</v>
      </c>
      <c r="H103" s="79">
        <f>'[1]Лист1'!H98</f>
        <v>0</v>
      </c>
      <c r="I103" s="79">
        <f>'[1]Лист1'!I98</f>
        <v>0</v>
      </c>
      <c r="J103" s="79">
        <f>'[1]Лист1'!J98</f>
        <v>0</v>
      </c>
      <c r="K103" s="79">
        <f>'[1]Лист1'!K98</f>
        <v>0</v>
      </c>
      <c r="L103" s="79">
        <f>'[1]Лист1'!L98</f>
        <v>0</v>
      </c>
      <c r="M103" s="191"/>
    </row>
    <row r="104" spans="2:13" ht="18.75">
      <c r="B104" s="26" t="s">
        <v>18</v>
      </c>
      <c r="C104" s="22"/>
      <c r="D104" s="79"/>
      <c r="E104" s="79"/>
      <c r="F104" s="79"/>
      <c r="G104" s="79"/>
      <c r="H104" s="79"/>
      <c r="I104" s="79"/>
      <c r="J104" s="79"/>
      <c r="K104" s="79"/>
      <c r="L104" s="240"/>
      <c r="M104" s="199"/>
    </row>
    <row r="105" spans="2:13" ht="18.75">
      <c r="B105" s="25" t="s">
        <v>19</v>
      </c>
      <c r="C105" s="27"/>
      <c r="D105" s="79"/>
      <c r="E105" s="79"/>
      <c r="F105" s="79"/>
      <c r="G105" s="79"/>
      <c r="H105" s="79"/>
      <c r="I105" s="79"/>
      <c r="J105" s="79"/>
      <c r="K105" s="79"/>
      <c r="L105" s="240"/>
      <c r="M105" s="199"/>
    </row>
    <row r="106" spans="2:20" ht="18.75">
      <c r="B106" s="25" t="s">
        <v>20</v>
      </c>
      <c r="C106" s="22" t="s">
        <v>21</v>
      </c>
      <c r="D106" s="256">
        <f>Лист3!C67</f>
        <v>71.50753887046316</v>
      </c>
      <c r="E106" s="256">
        <f>Лист3!D67</f>
        <v>69.15070576493513</v>
      </c>
      <c r="F106" s="256">
        <f>Лист3!E67</f>
        <v>67.51075126732816</v>
      </c>
      <c r="G106" s="256">
        <f>Лист3!F67</f>
        <v>60.971166225374695</v>
      </c>
      <c r="H106" s="256">
        <f>Лист3!G67</f>
        <v>60.90902472760805</v>
      </c>
      <c r="I106" s="256">
        <f>Лист3!H67</f>
        <v>61.62987698578338</v>
      </c>
      <c r="J106" s="256">
        <f>Лист3!I67</f>
        <v>68.87423711365474</v>
      </c>
      <c r="K106" s="256">
        <f>Лист3!J67</f>
        <v>62.27051701895405</v>
      </c>
      <c r="L106" s="256">
        <f>Лист3!K67</f>
        <v>62.10565384139552</v>
      </c>
      <c r="M106" s="209"/>
      <c r="P106" s="102"/>
      <c r="Q106" s="102"/>
      <c r="R106" s="102"/>
      <c r="S106" s="102"/>
      <c r="T106" s="102"/>
    </row>
    <row r="107" spans="2:16" ht="18.75">
      <c r="B107" s="25" t="s">
        <v>22</v>
      </c>
      <c r="C107" s="22" t="s">
        <v>102</v>
      </c>
      <c r="D107" s="263">
        <f>Лист3!C73</f>
        <v>21.16999506033449</v>
      </c>
      <c r="E107" s="263">
        <f>Лист3!D73</f>
        <v>21.386816215959318</v>
      </c>
      <c r="F107" s="263">
        <f>Лист3!E73</f>
        <v>21.622660548254572</v>
      </c>
      <c r="G107" s="263">
        <f>Лист3!F73</f>
        <v>21.862171156508854</v>
      </c>
      <c r="H107" s="263">
        <f>Лист3!G73</f>
        <v>21.839889344560657</v>
      </c>
      <c r="I107" s="263">
        <f>Лист3!H73</f>
        <v>22.098362265818743</v>
      </c>
      <c r="J107" s="263">
        <f>Лист3!I73</f>
        <v>22.059364200102944</v>
      </c>
      <c r="K107" s="263">
        <f>Лист3!J73</f>
        <v>22.32807383149747</v>
      </c>
      <c r="L107" s="263">
        <f>Лист3!K73</f>
        <v>22.268959544723494</v>
      </c>
      <c r="M107" s="104"/>
      <c r="P107" s="102"/>
    </row>
    <row r="108" spans="2:16" ht="18.75">
      <c r="B108" s="25" t="s">
        <v>23</v>
      </c>
      <c r="C108" s="22" t="s">
        <v>102</v>
      </c>
      <c r="D108" s="78">
        <f>Лист3!C77</f>
        <v>11.761108366852493</v>
      </c>
      <c r="E108" s="78">
        <f>Лист3!D77</f>
        <v>11.881564564421843</v>
      </c>
      <c r="F108" s="78">
        <f>Лист3!E77</f>
        <v>12.012589193474762</v>
      </c>
      <c r="G108" s="78">
        <f>Лист3!F77</f>
        <v>12.14565064250492</v>
      </c>
      <c r="H108" s="78">
        <f>Лист3!G77</f>
        <v>12.133271858089254</v>
      </c>
      <c r="I108" s="78">
        <f>Лист3!H77</f>
        <v>12.276867925454857</v>
      </c>
      <c r="J108" s="78">
        <f>Лист3!I77</f>
        <v>12.255202333390523</v>
      </c>
      <c r="K108" s="78">
        <f>Лист3!J77</f>
        <v>12.40448546194304</v>
      </c>
      <c r="L108" s="247">
        <f>Лист3!K77</f>
        <v>12.371644191513052</v>
      </c>
      <c r="M108" s="195"/>
      <c r="P108" s="102"/>
    </row>
    <row r="109" spans="2:16" ht="37.5">
      <c r="B109" s="30" t="s">
        <v>24</v>
      </c>
      <c r="C109" s="22" t="s">
        <v>31</v>
      </c>
      <c r="D109" s="79">
        <v>867</v>
      </c>
      <c r="E109" s="79">
        <v>877</v>
      </c>
      <c r="F109" s="79">
        <v>905</v>
      </c>
      <c r="G109" s="79">
        <v>837</v>
      </c>
      <c r="H109" s="79">
        <v>915</v>
      </c>
      <c r="I109" s="79">
        <v>848</v>
      </c>
      <c r="J109" s="79">
        <v>923</v>
      </c>
      <c r="K109" s="79">
        <v>849</v>
      </c>
      <c r="L109" s="79">
        <v>919</v>
      </c>
      <c r="M109" s="191"/>
      <c r="P109" s="102"/>
    </row>
    <row r="110" spans="2:16" ht="37.5">
      <c r="B110" s="25" t="s">
        <v>25</v>
      </c>
      <c r="C110" s="24" t="s">
        <v>26</v>
      </c>
      <c r="D110" s="78">
        <f>Лист3!C94</f>
        <v>163.94985063392375</v>
      </c>
      <c r="E110" s="78">
        <f>Лист3!D94</f>
        <v>185.35240720498075</v>
      </c>
      <c r="F110" s="78">
        <f>Лист3!E94</f>
        <v>187.39639141820626</v>
      </c>
      <c r="G110" s="78">
        <f>Лист3!F94</f>
        <v>189.47215002307675</v>
      </c>
      <c r="H110" s="78">
        <f>Лист3!G94</f>
        <v>190.49236817200128</v>
      </c>
      <c r="I110" s="78">
        <f>Лист3!H94</f>
        <v>191.51913963709578</v>
      </c>
      <c r="J110" s="78">
        <f>Лист3!I94</f>
        <v>193.63219686757026</v>
      </c>
      <c r="K110" s="78">
        <f>Лист3!J94</f>
        <v>193.5099732063114</v>
      </c>
      <c r="L110" s="258">
        <f>Лист3!K94</f>
        <v>196.7091426450575</v>
      </c>
      <c r="M110" s="204"/>
      <c r="P110" s="102"/>
    </row>
    <row r="111" spans="2:16" ht="18.75">
      <c r="B111" s="25" t="s">
        <v>27</v>
      </c>
      <c r="C111" s="22"/>
      <c r="D111" s="79"/>
      <c r="E111" s="79"/>
      <c r="F111" s="79"/>
      <c r="G111" s="79"/>
      <c r="H111" s="79"/>
      <c r="I111" s="79"/>
      <c r="J111" s="79"/>
      <c r="K111" s="79"/>
      <c r="L111" s="240"/>
      <c r="M111" s="199"/>
      <c r="P111" s="102"/>
    </row>
    <row r="112" spans="2:16" ht="18.75">
      <c r="B112" s="25" t="s">
        <v>28</v>
      </c>
      <c r="C112" s="24" t="s">
        <v>103</v>
      </c>
      <c r="D112" s="246">
        <f>Лист3!C83</f>
        <v>0.093</v>
      </c>
      <c r="E112" s="246">
        <f>Лист3!D83</f>
        <v>0.093</v>
      </c>
      <c r="F112" s="264">
        <f>Лист3!E83</f>
        <v>0.095</v>
      </c>
      <c r="G112" s="264">
        <f>Лист3!F83</f>
        <v>0.091</v>
      </c>
      <c r="H112" s="246">
        <f>Лист3!G83</f>
        <v>0.1</v>
      </c>
      <c r="I112" s="246">
        <f>Лист3!H83</f>
        <v>0.093</v>
      </c>
      <c r="J112" s="246">
        <f>Лист3!I83</f>
        <v>0.104</v>
      </c>
      <c r="K112" s="246">
        <f>Лист3!J83</f>
        <v>0.093</v>
      </c>
      <c r="L112" s="246">
        <f>Лист3!K83</f>
        <v>0.106</v>
      </c>
      <c r="M112" s="194"/>
      <c r="P112" s="102"/>
    </row>
    <row r="113" spans="2:16" ht="18.75">
      <c r="B113" s="25" t="s">
        <v>29</v>
      </c>
      <c r="C113" s="24" t="s">
        <v>103</v>
      </c>
      <c r="D113" s="265">
        <f>Лист3!C88</f>
        <v>0.321</v>
      </c>
      <c r="E113" s="265">
        <f>Лист3!D88</f>
        <v>0.331</v>
      </c>
      <c r="F113" s="265">
        <f>Лист3!E88</f>
        <v>0.317</v>
      </c>
      <c r="G113" s="265">
        <f>Лист3!F88</f>
        <v>0.29</v>
      </c>
      <c r="H113" s="265">
        <f>Лист3!G88</f>
        <v>0.315</v>
      </c>
      <c r="I113" s="265">
        <f>Лист3!H88</f>
        <v>0.295</v>
      </c>
      <c r="J113" s="265">
        <f>Лист3!I88</f>
        <v>0.314</v>
      </c>
      <c r="K113" s="265">
        <f>Лист3!J88</f>
        <v>0.289</v>
      </c>
      <c r="L113" s="265">
        <f>Лист3!K88</f>
        <v>0.31</v>
      </c>
      <c r="M113" s="210"/>
      <c r="P113" s="102"/>
    </row>
    <row r="114" spans="2:13" ht="18.75">
      <c r="B114" s="2"/>
      <c r="C114" s="1"/>
      <c r="D114" s="81"/>
      <c r="E114" s="82"/>
      <c r="F114" s="82"/>
      <c r="G114" s="82"/>
      <c r="H114" s="82"/>
      <c r="I114" s="82"/>
      <c r="J114" s="82"/>
      <c r="K114" s="82"/>
      <c r="L114" s="82"/>
      <c r="M114" s="211"/>
    </row>
    <row r="115" spans="2:13" ht="18.75">
      <c r="B115" s="31"/>
      <c r="C115" s="32"/>
      <c r="D115" s="52"/>
      <c r="E115" s="53"/>
      <c r="F115" s="53"/>
      <c r="G115" s="53"/>
      <c r="H115" s="77"/>
      <c r="I115" s="53"/>
      <c r="J115" s="53"/>
      <c r="K115" s="53"/>
      <c r="L115" s="53"/>
      <c r="M115" s="55"/>
    </row>
    <row r="116" spans="2:14" ht="60.75" customHeight="1">
      <c r="B116" s="34"/>
      <c r="C116" s="35"/>
      <c r="D116" s="54"/>
      <c r="E116" s="55"/>
      <c r="F116" s="55"/>
      <c r="G116" s="55"/>
      <c r="H116" s="55"/>
      <c r="I116" s="55"/>
      <c r="J116" s="55"/>
      <c r="K116" s="55"/>
      <c r="L116" s="55"/>
      <c r="M116" s="55"/>
      <c r="N116" s="4"/>
    </row>
    <row r="117" spans="2:13" ht="18.75">
      <c r="B117" s="36"/>
      <c r="C117" s="37"/>
      <c r="D117" s="56"/>
      <c r="E117" s="57"/>
      <c r="F117" s="58"/>
      <c r="G117" s="58"/>
      <c r="H117" s="58"/>
      <c r="I117" s="58"/>
      <c r="J117" s="58"/>
      <c r="K117" s="58"/>
      <c r="L117" s="58"/>
      <c r="M117" s="55"/>
    </row>
    <row r="118" spans="2:13" s="7" customFormat="1" ht="18.75">
      <c r="B118" s="38"/>
      <c r="C118" s="39"/>
      <c r="D118" s="55"/>
      <c r="E118" s="55"/>
      <c r="F118" s="55"/>
      <c r="G118" s="55"/>
      <c r="H118" s="55"/>
      <c r="I118" s="55"/>
      <c r="J118" s="55"/>
      <c r="K118" s="55"/>
      <c r="L118" s="55"/>
      <c r="M118" s="55"/>
    </row>
    <row r="119" spans="2:13" s="7" customFormat="1" ht="18.75">
      <c r="B119" s="38"/>
      <c r="C119" s="33"/>
      <c r="D119" s="55"/>
      <c r="E119" s="55"/>
      <c r="F119" s="55"/>
      <c r="G119" s="55"/>
      <c r="H119" s="55"/>
      <c r="I119" s="55"/>
      <c r="J119" s="55"/>
      <c r="K119" s="55"/>
      <c r="L119" s="55"/>
      <c r="M119" s="55"/>
    </row>
    <row r="120" spans="2:13" s="7" customFormat="1" ht="18.75">
      <c r="B120" s="38"/>
      <c r="C120" s="33"/>
      <c r="D120" s="59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2:13" s="7" customFormat="1" ht="18.75">
      <c r="B121" s="40"/>
      <c r="C121" s="39"/>
      <c r="D121" s="60"/>
      <c r="E121" s="61"/>
      <c r="F121" s="61"/>
      <c r="G121" s="61"/>
      <c r="H121" s="61"/>
      <c r="I121" s="61"/>
      <c r="J121" s="61"/>
      <c r="K121" s="61"/>
      <c r="L121" s="61"/>
      <c r="M121" s="61"/>
    </row>
    <row r="122" spans="2:13" s="7" customFormat="1" ht="18.75">
      <c r="B122" s="40"/>
      <c r="C122" s="39"/>
      <c r="D122" s="62"/>
      <c r="E122" s="55"/>
      <c r="F122" s="55"/>
      <c r="G122" s="55"/>
      <c r="H122" s="55"/>
      <c r="I122" s="55"/>
      <c r="J122" s="55"/>
      <c r="K122" s="55"/>
      <c r="L122" s="55"/>
      <c r="M122" s="55"/>
    </row>
    <row r="123" spans="2:13" s="7" customFormat="1" ht="18.75">
      <c r="B123" s="4"/>
      <c r="C123" s="33"/>
      <c r="D123" s="54"/>
      <c r="E123" s="55"/>
      <c r="F123" s="55"/>
      <c r="G123" s="55"/>
      <c r="H123" s="55"/>
      <c r="I123" s="55"/>
      <c r="J123" s="55"/>
      <c r="K123" s="55"/>
      <c r="L123" s="55"/>
      <c r="M123" s="55"/>
    </row>
    <row r="124" spans="2:13" s="7" customFormat="1" ht="39.75" customHeight="1">
      <c r="B124" s="38"/>
      <c r="C124" s="33"/>
      <c r="D124" s="55"/>
      <c r="E124" s="55"/>
      <c r="F124" s="55"/>
      <c r="G124" s="55"/>
      <c r="H124" s="55"/>
      <c r="I124" s="55"/>
      <c r="J124" s="55"/>
      <c r="K124" s="55"/>
      <c r="L124" s="55"/>
      <c r="M124" s="55"/>
    </row>
    <row r="125" spans="2:13" s="7" customFormat="1" ht="18.75">
      <c r="B125" s="40"/>
      <c r="C125" s="41"/>
      <c r="D125" s="63"/>
      <c r="E125" s="55"/>
      <c r="F125" s="55"/>
      <c r="G125" s="55"/>
      <c r="H125" s="55"/>
      <c r="I125" s="55"/>
      <c r="J125" s="55"/>
      <c r="K125" s="55"/>
      <c r="L125" s="55"/>
      <c r="M125" s="55"/>
    </row>
    <row r="126" spans="2:13" s="7" customFormat="1" ht="18.75">
      <c r="B126" s="40"/>
      <c r="C126" s="41"/>
      <c r="D126" s="63"/>
      <c r="E126" s="55"/>
      <c r="F126" s="55"/>
      <c r="G126" s="55"/>
      <c r="H126" s="55"/>
      <c r="I126" s="55"/>
      <c r="J126" s="55"/>
      <c r="K126" s="55"/>
      <c r="L126" s="55"/>
      <c r="M126" s="55"/>
    </row>
    <row r="127" spans="2:13" s="7" customFormat="1" ht="18.75">
      <c r="B127" s="38"/>
      <c r="C127" s="33"/>
      <c r="D127" s="55"/>
      <c r="E127" s="55"/>
      <c r="F127" s="55"/>
      <c r="G127" s="55"/>
      <c r="H127" s="55"/>
      <c r="I127" s="55"/>
      <c r="J127" s="55"/>
      <c r="K127" s="55"/>
      <c r="L127" s="55"/>
      <c r="M127" s="55"/>
    </row>
    <row r="128" spans="2:13" s="7" customFormat="1" ht="18.75">
      <c r="B128" s="38"/>
      <c r="C128" s="33"/>
      <c r="D128" s="54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2:13" s="7" customFormat="1" ht="18.75">
      <c r="B129" s="38"/>
      <c r="C129" s="33"/>
      <c r="D129" s="54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2:13" s="7" customFormat="1" ht="18.75">
      <c r="B130" s="38"/>
      <c r="C130" s="33"/>
      <c r="D130" s="54"/>
      <c r="E130" s="55"/>
      <c r="F130" s="55"/>
      <c r="G130" s="55"/>
      <c r="H130" s="55"/>
      <c r="I130" s="55"/>
      <c r="J130" s="55"/>
      <c r="K130" s="55"/>
      <c r="L130" s="55"/>
      <c r="M130" s="55"/>
    </row>
    <row r="131" spans="2:13" s="7" customFormat="1" ht="18.75">
      <c r="B131" s="42"/>
      <c r="C131" s="41"/>
      <c r="D131" s="63"/>
      <c r="E131" s="55"/>
      <c r="F131" s="55"/>
      <c r="G131" s="55"/>
      <c r="H131" s="55"/>
      <c r="I131" s="55"/>
      <c r="J131" s="55"/>
      <c r="K131" s="55"/>
      <c r="L131" s="55"/>
      <c r="M131" s="55"/>
    </row>
    <row r="132" spans="2:13" s="7" customFormat="1" ht="18.75">
      <c r="B132" s="40"/>
      <c r="C132" s="41"/>
      <c r="D132" s="63"/>
      <c r="E132" s="55"/>
      <c r="F132" s="55"/>
      <c r="G132" s="55"/>
      <c r="H132" s="55"/>
      <c r="I132" s="55"/>
      <c r="J132" s="55"/>
      <c r="K132" s="55"/>
      <c r="L132" s="55"/>
      <c r="M132" s="55"/>
    </row>
    <row r="133" spans="2:13" s="7" customFormat="1" ht="18.75">
      <c r="B133" s="40"/>
      <c r="C133" s="41"/>
      <c r="D133" s="63"/>
      <c r="E133" s="55"/>
      <c r="F133" s="55"/>
      <c r="G133" s="55"/>
      <c r="H133" s="55"/>
      <c r="I133" s="55"/>
      <c r="J133" s="55"/>
      <c r="K133" s="55"/>
      <c r="L133" s="55"/>
      <c r="M133" s="55"/>
    </row>
    <row r="134" spans="2:13" s="7" customFormat="1" ht="18.75">
      <c r="B134" s="40"/>
      <c r="C134" s="41"/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2:13" s="7" customFormat="1" ht="18.75">
      <c r="B135" s="42"/>
      <c r="C135" s="41"/>
      <c r="D135" s="63"/>
      <c r="E135" s="55"/>
      <c r="F135" s="55"/>
      <c r="G135" s="55"/>
      <c r="H135" s="55"/>
      <c r="I135" s="55"/>
      <c r="J135" s="55"/>
      <c r="K135" s="55"/>
      <c r="L135" s="55"/>
      <c r="M135" s="55"/>
    </row>
    <row r="136" spans="2:13" s="7" customFormat="1" ht="18.75">
      <c r="B136" s="40"/>
      <c r="C136" s="39"/>
      <c r="D136" s="55"/>
      <c r="E136" s="55"/>
      <c r="F136" s="55"/>
      <c r="G136" s="55"/>
      <c r="H136" s="55"/>
      <c r="I136" s="55"/>
      <c r="J136" s="55"/>
      <c r="K136" s="55"/>
      <c r="L136" s="55"/>
      <c r="M136" s="55"/>
    </row>
    <row r="137" spans="2:13" s="7" customFormat="1" ht="18.75">
      <c r="B137" s="40"/>
      <c r="C137" s="39"/>
      <c r="D137" s="64"/>
      <c r="E137" s="55"/>
      <c r="F137" s="55"/>
      <c r="G137" s="55"/>
      <c r="H137" s="55"/>
      <c r="I137" s="55"/>
      <c r="J137" s="55"/>
      <c r="K137" s="55"/>
      <c r="L137" s="55"/>
      <c r="M137" s="55"/>
    </row>
    <row r="138" spans="2:13" s="7" customFormat="1" ht="18.75">
      <c r="B138" s="40"/>
      <c r="C138" s="41"/>
      <c r="D138" s="63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2:13" s="7" customFormat="1" ht="18.75">
      <c r="B139" s="40"/>
      <c r="C139" s="41"/>
      <c r="D139" s="63"/>
      <c r="E139" s="55"/>
      <c r="F139" s="55"/>
      <c r="G139" s="55"/>
      <c r="H139" s="55"/>
      <c r="I139" s="55"/>
      <c r="J139" s="55"/>
      <c r="K139" s="55"/>
      <c r="L139" s="55"/>
      <c r="M139" s="55"/>
    </row>
    <row r="140" spans="2:13" s="7" customFormat="1" ht="18.75">
      <c r="B140" s="42"/>
      <c r="C140" s="39"/>
      <c r="D140" s="64"/>
      <c r="E140" s="55"/>
      <c r="F140" s="55"/>
      <c r="G140" s="55"/>
      <c r="H140" s="55"/>
      <c r="I140" s="55"/>
      <c r="J140" s="55"/>
      <c r="K140" s="55"/>
      <c r="L140" s="55"/>
      <c r="M140" s="55"/>
    </row>
    <row r="141" spans="2:13" s="7" customFormat="1" ht="18.75">
      <c r="B141" s="40"/>
      <c r="C141" s="41"/>
      <c r="D141" s="63"/>
      <c r="E141" s="55"/>
      <c r="F141" s="55"/>
      <c r="G141" s="55"/>
      <c r="H141" s="55"/>
      <c r="I141" s="55"/>
      <c r="J141" s="55"/>
      <c r="K141" s="55"/>
      <c r="L141" s="55"/>
      <c r="M141" s="55"/>
    </row>
    <row r="142" spans="2:13" s="7" customFormat="1" ht="18.75">
      <c r="B142" s="40"/>
      <c r="C142" s="41"/>
      <c r="D142" s="63"/>
      <c r="E142" s="55"/>
      <c r="F142" s="55"/>
      <c r="G142" s="55"/>
      <c r="H142" s="55"/>
      <c r="I142" s="55"/>
      <c r="J142" s="55"/>
      <c r="K142" s="55"/>
      <c r="L142" s="55"/>
      <c r="M142" s="55"/>
    </row>
    <row r="143" spans="2:13" s="7" customFormat="1" ht="18.75">
      <c r="B143" s="40"/>
      <c r="C143" s="41"/>
      <c r="D143" s="63"/>
      <c r="E143" s="65"/>
      <c r="F143" s="65"/>
      <c r="G143" s="65"/>
      <c r="H143" s="65"/>
      <c r="I143" s="65"/>
      <c r="J143" s="65"/>
      <c r="K143" s="65"/>
      <c r="L143" s="65"/>
      <c r="M143" s="65"/>
    </row>
    <row r="144" spans="2:13" s="7" customFormat="1" ht="18.75">
      <c r="B144" s="40"/>
      <c r="C144" s="33"/>
      <c r="D144" s="54"/>
      <c r="E144" s="55"/>
      <c r="F144" s="55"/>
      <c r="G144" s="55"/>
      <c r="H144" s="55"/>
      <c r="I144" s="55"/>
      <c r="J144" s="55"/>
      <c r="K144" s="55"/>
      <c r="L144" s="55"/>
      <c r="M144" s="55"/>
    </row>
    <row r="145" spans="2:13" s="7" customFormat="1" ht="18.75">
      <c r="B145" s="38"/>
      <c r="C145" s="33"/>
      <c r="D145" s="55"/>
      <c r="E145" s="55"/>
      <c r="F145" s="55"/>
      <c r="G145" s="55"/>
      <c r="H145" s="55"/>
      <c r="I145" s="55"/>
      <c r="J145" s="55"/>
      <c r="K145" s="55"/>
      <c r="L145" s="55"/>
      <c r="M145" s="55"/>
    </row>
    <row r="146" spans="2:13" s="7" customFormat="1" ht="18.75">
      <c r="B146" s="4"/>
      <c r="C146" s="33"/>
      <c r="D146" s="54"/>
      <c r="E146" s="55"/>
      <c r="F146" s="55"/>
      <c r="G146" s="55"/>
      <c r="H146" s="55"/>
      <c r="I146" s="55"/>
      <c r="J146" s="55"/>
      <c r="K146" s="55"/>
      <c r="L146" s="55"/>
      <c r="M146" s="55"/>
    </row>
    <row r="147" spans="2:13" s="7" customFormat="1" ht="18.75">
      <c r="B147" s="38"/>
      <c r="C147" s="33"/>
      <c r="D147" s="55"/>
      <c r="E147" s="55"/>
      <c r="F147" s="55"/>
      <c r="G147" s="55"/>
      <c r="H147" s="55"/>
      <c r="I147" s="55"/>
      <c r="J147" s="55"/>
      <c r="K147" s="55"/>
      <c r="L147" s="55"/>
      <c r="M147" s="55"/>
    </row>
    <row r="148" spans="2:13" s="7" customFormat="1" ht="18.75">
      <c r="B148" s="38"/>
      <c r="C148" s="33"/>
      <c r="D148" s="54"/>
      <c r="E148" s="55"/>
      <c r="F148" s="55"/>
      <c r="G148" s="55"/>
      <c r="H148" s="55"/>
      <c r="I148" s="55"/>
      <c r="J148" s="55"/>
      <c r="K148" s="55"/>
      <c r="L148" s="55"/>
      <c r="M148" s="55"/>
    </row>
    <row r="149" spans="2:13" s="7" customFormat="1" ht="18.75">
      <c r="B149" s="4"/>
      <c r="C149" s="33"/>
      <c r="D149" s="54"/>
      <c r="E149" s="55"/>
      <c r="F149" s="55"/>
      <c r="G149" s="55"/>
      <c r="H149" s="55"/>
      <c r="I149" s="55"/>
      <c r="J149" s="55"/>
      <c r="K149" s="55"/>
      <c r="L149" s="55"/>
      <c r="M149" s="55"/>
    </row>
    <row r="150" spans="2:13" s="7" customFormat="1" ht="18.75">
      <c r="B150" s="38"/>
      <c r="C150" s="33"/>
      <c r="D150" s="55"/>
      <c r="E150" s="55"/>
      <c r="F150" s="55"/>
      <c r="G150" s="55"/>
      <c r="H150" s="55"/>
      <c r="I150" s="55"/>
      <c r="J150" s="55"/>
      <c r="K150" s="55"/>
      <c r="L150" s="55"/>
      <c r="M150" s="55"/>
    </row>
    <row r="151" spans="2:13" s="7" customFormat="1" ht="18.75">
      <c r="B151" s="38"/>
      <c r="C151" s="33"/>
      <c r="D151" s="54"/>
      <c r="E151" s="55"/>
      <c r="F151" s="55"/>
      <c r="G151" s="55"/>
      <c r="H151" s="55"/>
      <c r="I151" s="55"/>
      <c r="J151" s="55"/>
      <c r="K151" s="55"/>
      <c r="L151" s="55"/>
      <c r="M151" s="55"/>
    </row>
    <row r="152" spans="2:13" s="7" customFormat="1" ht="18.75">
      <c r="B152" s="40"/>
      <c r="C152" s="33"/>
      <c r="D152" s="54"/>
      <c r="E152" s="55"/>
      <c r="F152" s="55"/>
      <c r="G152" s="55"/>
      <c r="H152" s="55"/>
      <c r="I152" s="55"/>
      <c r="J152" s="55"/>
      <c r="K152" s="55"/>
      <c r="L152" s="55"/>
      <c r="M152" s="55"/>
    </row>
    <row r="153" spans="2:13" s="7" customFormat="1" ht="18.75">
      <c r="B153" s="40"/>
      <c r="C153" s="33"/>
      <c r="D153" s="54"/>
      <c r="E153" s="55"/>
      <c r="F153" s="55"/>
      <c r="G153" s="55"/>
      <c r="H153" s="55"/>
      <c r="I153" s="55"/>
      <c r="J153" s="55"/>
      <c r="K153" s="55"/>
      <c r="L153" s="55"/>
      <c r="M153" s="55"/>
    </row>
    <row r="154" spans="2:13" s="7" customFormat="1" ht="18.75">
      <c r="B154" s="40"/>
      <c r="C154" s="33"/>
      <c r="D154" s="55"/>
      <c r="E154" s="55"/>
      <c r="F154" s="55"/>
      <c r="G154" s="55"/>
      <c r="H154" s="55"/>
      <c r="I154" s="55"/>
      <c r="J154" s="55"/>
      <c r="K154" s="55"/>
      <c r="L154" s="55"/>
      <c r="M154" s="55"/>
    </row>
    <row r="155" spans="2:13" s="7" customFormat="1" ht="18.75">
      <c r="B155" s="40"/>
      <c r="C155" s="33"/>
      <c r="D155" s="54"/>
      <c r="E155" s="55"/>
      <c r="F155" s="55"/>
      <c r="G155" s="55"/>
      <c r="H155" s="55"/>
      <c r="I155" s="55"/>
      <c r="J155" s="55"/>
      <c r="K155" s="55"/>
      <c r="L155" s="55"/>
      <c r="M155" s="55"/>
    </row>
    <row r="156" spans="2:13" s="7" customFormat="1" ht="18.75">
      <c r="B156" s="40"/>
      <c r="C156" s="33"/>
      <c r="D156" s="54"/>
      <c r="E156" s="55"/>
      <c r="F156" s="55"/>
      <c r="G156" s="55"/>
      <c r="H156" s="55"/>
      <c r="I156" s="55"/>
      <c r="J156" s="55"/>
      <c r="K156" s="55"/>
      <c r="L156" s="55"/>
      <c r="M156" s="55"/>
    </row>
    <row r="157" spans="2:13" s="7" customFormat="1" ht="18.75">
      <c r="B157" s="40"/>
      <c r="C157" s="33"/>
      <c r="D157" s="54"/>
      <c r="E157" s="55"/>
      <c r="F157" s="55"/>
      <c r="G157" s="55"/>
      <c r="H157" s="55"/>
      <c r="I157" s="55"/>
      <c r="J157" s="55"/>
      <c r="K157" s="55"/>
      <c r="L157" s="55"/>
      <c r="M157" s="55"/>
    </row>
    <row r="158" spans="2:13" s="7" customFormat="1" ht="18.75">
      <c r="B158" s="40"/>
      <c r="C158" s="33"/>
      <c r="D158" s="54"/>
      <c r="E158" s="55"/>
      <c r="F158" s="55"/>
      <c r="G158" s="55"/>
      <c r="H158" s="55"/>
      <c r="I158" s="55"/>
      <c r="J158" s="55"/>
      <c r="K158" s="55"/>
      <c r="L158" s="55"/>
      <c r="M158" s="55"/>
    </row>
    <row r="159" spans="2:13" s="7" customFormat="1" ht="18.75">
      <c r="B159" s="38"/>
      <c r="C159" s="33"/>
      <c r="D159" s="55"/>
      <c r="E159" s="55"/>
      <c r="F159" s="55"/>
      <c r="G159" s="55"/>
      <c r="H159" s="55"/>
      <c r="I159" s="55"/>
      <c r="J159" s="55"/>
      <c r="K159" s="55"/>
      <c r="L159" s="55"/>
      <c r="M159" s="55"/>
    </row>
    <row r="160" spans="2:13" s="7" customFormat="1" ht="18.75">
      <c r="B160" s="38"/>
      <c r="C160" s="33"/>
      <c r="D160" s="54"/>
      <c r="E160" s="55"/>
      <c r="F160" s="55"/>
      <c r="G160" s="55"/>
      <c r="H160" s="55"/>
      <c r="I160" s="55"/>
      <c r="J160" s="55"/>
      <c r="K160" s="55"/>
      <c r="L160" s="55"/>
      <c r="M160" s="55"/>
    </row>
    <row r="161" spans="2:13" s="7" customFormat="1" ht="18.75">
      <c r="B161" s="40"/>
      <c r="C161" s="33"/>
      <c r="D161" s="54"/>
      <c r="E161" s="55"/>
      <c r="F161" s="55"/>
      <c r="G161" s="55"/>
      <c r="H161" s="55"/>
      <c r="I161" s="55"/>
      <c r="J161" s="55"/>
      <c r="K161" s="55"/>
      <c r="L161" s="55"/>
      <c r="M161" s="55"/>
    </row>
    <row r="162" spans="2:13" s="7" customFormat="1" ht="18.75">
      <c r="B162" s="40"/>
      <c r="C162" s="33"/>
      <c r="D162" s="55"/>
      <c r="E162" s="55"/>
      <c r="F162" s="55"/>
      <c r="G162" s="55"/>
      <c r="H162" s="55"/>
      <c r="I162" s="55"/>
      <c r="J162" s="55"/>
      <c r="K162" s="55"/>
      <c r="L162" s="55"/>
      <c r="M162" s="55"/>
    </row>
    <row r="163" spans="2:13" s="7" customFormat="1" ht="18.75">
      <c r="B163" s="40"/>
      <c r="C163" s="33"/>
      <c r="D163" s="54"/>
      <c r="E163" s="55"/>
      <c r="F163" s="55"/>
      <c r="G163" s="55"/>
      <c r="H163" s="55"/>
      <c r="I163" s="55"/>
      <c r="J163" s="55"/>
      <c r="K163" s="55"/>
      <c r="L163" s="55"/>
      <c r="M163" s="55"/>
    </row>
    <row r="164" spans="2:13" s="7" customFormat="1" ht="18.75">
      <c r="B164" s="40"/>
      <c r="C164" s="33"/>
      <c r="D164" s="54"/>
      <c r="E164" s="55"/>
      <c r="F164" s="55"/>
      <c r="G164" s="55"/>
      <c r="H164" s="55"/>
      <c r="I164" s="55"/>
      <c r="J164" s="55"/>
      <c r="K164" s="55"/>
      <c r="L164" s="55"/>
      <c r="M164" s="55"/>
    </row>
    <row r="165" spans="2:13" s="7" customFormat="1" ht="18.75">
      <c r="B165" s="40"/>
      <c r="C165" s="33"/>
      <c r="D165" s="66"/>
      <c r="E165" s="54"/>
      <c r="F165" s="55"/>
      <c r="G165" s="55"/>
      <c r="H165" s="55"/>
      <c r="I165" s="55"/>
      <c r="J165" s="55"/>
      <c r="K165" s="55"/>
      <c r="L165" s="55"/>
      <c r="M165" s="55"/>
    </row>
    <row r="166" spans="2:13" s="7" customFormat="1" ht="18.75">
      <c r="B166" s="4"/>
      <c r="C166" s="33"/>
      <c r="D166" s="54"/>
      <c r="E166" s="55"/>
      <c r="F166" s="55"/>
      <c r="G166" s="55"/>
      <c r="H166" s="55"/>
      <c r="I166" s="55"/>
      <c r="J166" s="55"/>
      <c r="K166" s="55"/>
      <c r="L166" s="55"/>
      <c r="M166" s="55"/>
    </row>
    <row r="167" spans="2:13" s="7" customFormat="1" ht="18.75">
      <c r="B167" s="38"/>
      <c r="C167" s="33"/>
      <c r="D167" s="54"/>
      <c r="E167" s="55"/>
      <c r="F167" s="55"/>
      <c r="G167" s="55"/>
      <c r="H167" s="55"/>
      <c r="I167" s="55"/>
      <c r="J167" s="55"/>
      <c r="K167" s="55"/>
      <c r="L167" s="55"/>
      <c r="M167" s="55"/>
    </row>
    <row r="168" spans="2:13" s="7" customFormat="1" ht="18.75">
      <c r="B168" s="38"/>
      <c r="C168" s="33"/>
      <c r="D168" s="54"/>
      <c r="E168" s="55"/>
      <c r="F168" s="55"/>
      <c r="G168" s="55"/>
      <c r="H168" s="55"/>
      <c r="I168" s="55"/>
      <c r="J168" s="55"/>
      <c r="K168" s="55"/>
      <c r="L168" s="55"/>
      <c r="M168" s="55"/>
    </row>
    <row r="169" spans="2:13" s="7" customFormat="1" ht="18.75">
      <c r="B169" s="40"/>
      <c r="C169" s="33"/>
      <c r="D169" s="54"/>
      <c r="E169" s="55"/>
      <c r="F169" s="55"/>
      <c r="G169" s="55"/>
      <c r="H169" s="55"/>
      <c r="I169" s="55"/>
      <c r="J169" s="55"/>
      <c r="K169" s="55"/>
      <c r="L169" s="55"/>
      <c r="M169" s="55"/>
    </row>
    <row r="170" spans="2:13" s="7" customFormat="1" ht="18.75">
      <c r="B170" s="40"/>
      <c r="C170" s="33"/>
      <c r="D170" s="54"/>
      <c r="E170" s="55"/>
      <c r="F170" s="55"/>
      <c r="G170" s="55"/>
      <c r="H170" s="55"/>
      <c r="I170" s="55"/>
      <c r="J170" s="55"/>
      <c r="K170" s="55"/>
      <c r="L170" s="55"/>
      <c r="M170" s="55"/>
    </row>
    <row r="171" spans="2:13" s="7" customFormat="1" ht="18.75">
      <c r="B171" s="40"/>
      <c r="C171" s="33"/>
      <c r="D171" s="54"/>
      <c r="E171" s="55"/>
      <c r="F171" s="55"/>
      <c r="G171" s="55"/>
      <c r="H171" s="55"/>
      <c r="I171" s="55"/>
      <c r="J171" s="55"/>
      <c r="K171" s="55"/>
      <c r="L171" s="55"/>
      <c r="M171" s="55"/>
    </row>
    <row r="172" spans="2:13" s="7" customFormat="1" ht="18.75">
      <c r="B172" s="40"/>
      <c r="C172" s="33"/>
      <c r="D172" s="54"/>
      <c r="E172" s="55"/>
      <c r="F172" s="55"/>
      <c r="G172" s="55"/>
      <c r="H172" s="55"/>
      <c r="I172" s="55"/>
      <c r="J172" s="55"/>
      <c r="K172" s="55"/>
      <c r="L172" s="55"/>
      <c r="M172" s="55"/>
    </row>
    <row r="173" spans="2:13" s="7" customFormat="1" ht="18.75">
      <c r="B173" s="40"/>
      <c r="C173" s="33"/>
      <c r="D173" s="54"/>
      <c r="E173" s="55"/>
      <c r="F173" s="55"/>
      <c r="G173" s="55"/>
      <c r="H173" s="55"/>
      <c r="I173" s="55"/>
      <c r="J173" s="55"/>
      <c r="K173" s="55"/>
      <c r="L173" s="55"/>
      <c r="M173" s="55"/>
    </row>
    <row r="174" spans="2:13" s="7" customFormat="1" ht="18.75">
      <c r="B174" s="40"/>
      <c r="C174" s="33"/>
      <c r="D174" s="54"/>
      <c r="E174" s="55"/>
      <c r="F174" s="55"/>
      <c r="G174" s="55"/>
      <c r="H174" s="55"/>
      <c r="I174" s="55"/>
      <c r="J174" s="55"/>
      <c r="K174" s="55"/>
      <c r="L174" s="55"/>
      <c r="M174" s="55"/>
    </row>
    <row r="175" spans="2:13" s="7" customFormat="1" ht="18.75">
      <c r="B175" s="38"/>
      <c r="C175" s="33"/>
      <c r="D175" s="54"/>
      <c r="E175" s="55"/>
      <c r="F175" s="55"/>
      <c r="G175" s="55"/>
      <c r="H175" s="55"/>
      <c r="I175" s="55"/>
      <c r="J175" s="55"/>
      <c r="K175" s="55"/>
      <c r="L175" s="55"/>
      <c r="M175" s="55"/>
    </row>
    <row r="176" spans="2:13" s="7" customFormat="1" ht="18.75">
      <c r="B176" s="38"/>
      <c r="C176" s="33"/>
      <c r="D176" s="54"/>
      <c r="E176" s="55"/>
      <c r="F176" s="55"/>
      <c r="G176" s="55"/>
      <c r="H176" s="55"/>
      <c r="I176" s="55"/>
      <c r="J176" s="55"/>
      <c r="K176" s="55"/>
      <c r="L176" s="55"/>
      <c r="M176" s="55"/>
    </row>
    <row r="177" spans="2:13" s="7" customFormat="1" ht="18.75">
      <c r="B177" s="40"/>
      <c r="C177" s="33"/>
      <c r="D177" s="54"/>
      <c r="E177" s="55"/>
      <c r="F177" s="55"/>
      <c r="G177" s="55"/>
      <c r="H177" s="55"/>
      <c r="I177" s="55"/>
      <c r="J177" s="55"/>
      <c r="K177" s="55"/>
      <c r="L177" s="55"/>
      <c r="M177" s="55"/>
    </row>
    <row r="178" spans="2:13" s="7" customFormat="1" ht="18.75">
      <c r="B178" s="40"/>
      <c r="C178" s="33"/>
      <c r="D178" s="54"/>
      <c r="E178" s="55"/>
      <c r="F178" s="55"/>
      <c r="G178" s="55"/>
      <c r="H178" s="55"/>
      <c r="I178" s="55"/>
      <c r="J178" s="55"/>
      <c r="K178" s="55"/>
      <c r="L178" s="55"/>
      <c r="M178" s="55"/>
    </row>
    <row r="179" spans="2:13" s="7" customFormat="1" ht="18.75">
      <c r="B179" s="40"/>
      <c r="C179" s="33"/>
      <c r="D179" s="54"/>
      <c r="E179" s="55"/>
      <c r="F179" s="55"/>
      <c r="G179" s="55"/>
      <c r="H179" s="55"/>
      <c r="I179" s="55"/>
      <c r="J179" s="55"/>
      <c r="K179" s="55"/>
      <c r="L179" s="55"/>
      <c r="M179" s="55"/>
    </row>
    <row r="180" spans="2:13" s="7" customFormat="1" ht="18.75">
      <c r="B180" s="40"/>
      <c r="C180" s="33"/>
      <c r="D180" s="54"/>
      <c r="E180" s="55"/>
      <c r="F180" s="55"/>
      <c r="G180" s="55"/>
      <c r="H180" s="55"/>
      <c r="I180" s="55"/>
      <c r="J180" s="55"/>
      <c r="K180" s="55"/>
      <c r="L180" s="55"/>
      <c r="M180" s="55"/>
    </row>
    <row r="181" spans="2:13" s="7" customFormat="1" ht="18.75">
      <c r="B181" s="40"/>
      <c r="C181" s="33"/>
      <c r="D181" s="54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2:13" s="43" customFormat="1" ht="18.75">
      <c r="B182" s="4"/>
      <c r="C182" s="33"/>
      <c r="D182" s="54"/>
      <c r="E182" s="55"/>
      <c r="F182" s="55"/>
      <c r="G182" s="55"/>
      <c r="H182" s="55"/>
      <c r="I182" s="55"/>
      <c r="J182" s="55"/>
      <c r="K182" s="55"/>
      <c r="L182" s="55"/>
      <c r="M182" s="55"/>
    </row>
    <row r="183" spans="2:13" s="7" customFormat="1" ht="40.5" customHeight="1">
      <c r="B183" s="38"/>
      <c r="C183" s="33"/>
      <c r="D183" s="54"/>
      <c r="E183" s="67"/>
      <c r="F183" s="67"/>
      <c r="G183" s="67"/>
      <c r="H183" s="55"/>
      <c r="I183" s="67"/>
      <c r="J183" s="55"/>
      <c r="K183" s="67"/>
      <c r="L183" s="55"/>
      <c r="M183" s="55"/>
    </row>
    <row r="184" spans="2:13" s="7" customFormat="1" ht="18.75">
      <c r="B184" s="38"/>
      <c r="C184" s="39"/>
      <c r="D184" s="68"/>
      <c r="E184" s="69"/>
      <c r="F184" s="69"/>
      <c r="G184" s="69"/>
      <c r="H184" s="69"/>
      <c r="I184" s="69"/>
      <c r="J184" s="69"/>
      <c r="K184" s="69"/>
      <c r="L184" s="69"/>
      <c r="M184" s="69"/>
    </row>
    <row r="185" spans="2:13" s="7" customFormat="1" ht="18.75">
      <c r="B185" s="38"/>
      <c r="C185" s="33"/>
      <c r="D185" s="70"/>
      <c r="E185" s="69"/>
      <c r="F185" s="69"/>
      <c r="G185" s="69"/>
      <c r="H185" s="69"/>
      <c r="I185" s="69"/>
      <c r="J185" s="69"/>
      <c r="K185" s="69"/>
      <c r="L185" s="69"/>
      <c r="M185" s="69"/>
    </row>
    <row r="186" spans="2:13" s="7" customFormat="1" ht="18.75">
      <c r="B186" s="4"/>
      <c r="C186" s="33"/>
      <c r="D186" s="54"/>
      <c r="E186" s="55"/>
      <c r="F186" s="55"/>
      <c r="G186" s="55"/>
      <c r="H186" s="55"/>
      <c r="I186" s="55"/>
      <c r="J186" s="55"/>
      <c r="K186" s="55"/>
      <c r="L186" s="55"/>
      <c r="M186" s="55"/>
    </row>
    <row r="187" spans="2:15" s="7" customFormat="1" ht="18.75">
      <c r="B187" s="40"/>
      <c r="C187" s="33"/>
      <c r="D187" s="54"/>
      <c r="E187" s="55"/>
      <c r="F187" s="55"/>
      <c r="G187" s="55"/>
      <c r="H187" s="55"/>
      <c r="I187" s="55"/>
      <c r="J187" s="55"/>
      <c r="K187" s="55"/>
      <c r="L187" s="55"/>
      <c r="M187" s="55"/>
      <c r="N187" s="6"/>
      <c r="O187" s="6"/>
    </row>
    <row r="188" spans="2:13" s="7" customFormat="1" ht="18.75">
      <c r="B188" s="40"/>
      <c r="C188" s="33"/>
      <c r="D188" s="54"/>
      <c r="E188" s="55"/>
      <c r="F188" s="55"/>
      <c r="G188" s="55"/>
      <c r="H188" s="55"/>
      <c r="I188" s="55"/>
      <c r="J188" s="55"/>
      <c r="K188" s="55"/>
      <c r="L188" s="55"/>
      <c r="M188" s="55"/>
    </row>
    <row r="189" spans="2:13" s="7" customFormat="1" ht="18.75">
      <c r="B189" s="38"/>
      <c r="C189" s="33"/>
      <c r="D189" s="54"/>
      <c r="E189" s="55"/>
      <c r="F189" s="55"/>
      <c r="G189" s="55"/>
      <c r="H189" s="55"/>
      <c r="I189" s="55"/>
      <c r="J189" s="55"/>
      <c r="K189" s="55"/>
      <c r="L189" s="55"/>
      <c r="M189" s="55"/>
    </row>
    <row r="190" spans="2:13" s="7" customFormat="1" ht="18.75">
      <c r="B190" s="38"/>
      <c r="C190" s="33"/>
      <c r="D190" s="54"/>
      <c r="E190" s="55"/>
      <c r="F190" s="55"/>
      <c r="G190" s="55"/>
      <c r="H190" s="55"/>
      <c r="I190" s="55"/>
      <c r="J190" s="55"/>
      <c r="K190" s="55"/>
      <c r="L190" s="55"/>
      <c r="M190" s="55"/>
    </row>
    <row r="191" spans="2:13" s="7" customFormat="1" ht="18.75">
      <c r="B191" s="38"/>
      <c r="C191" s="33"/>
      <c r="D191" s="54"/>
      <c r="E191" s="55"/>
      <c r="F191" s="55"/>
      <c r="G191" s="55"/>
      <c r="H191" s="55"/>
      <c r="I191" s="55"/>
      <c r="J191" s="55"/>
      <c r="K191" s="55"/>
      <c r="L191" s="55"/>
      <c r="M191" s="55"/>
    </row>
    <row r="192" spans="2:13" s="7" customFormat="1" ht="18.75">
      <c r="B192" s="38"/>
      <c r="C192" s="33"/>
      <c r="D192" s="54"/>
      <c r="E192" s="55"/>
      <c r="F192" s="55"/>
      <c r="G192" s="55"/>
      <c r="H192" s="55"/>
      <c r="I192" s="55"/>
      <c r="J192" s="55"/>
      <c r="K192" s="55"/>
      <c r="L192" s="55"/>
      <c r="M192" s="55"/>
    </row>
    <row r="193" spans="2:13" s="7" customFormat="1" ht="18.75">
      <c r="B193" s="42"/>
      <c r="C193" s="33"/>
      <c r="D193" s="55"/>
      <c r="E193" s="55"/>
      <c r="F193" s="55"/>
      <c r="G193" s="55"/>
      <c r="H193" s="55"/>
      <c r="I193" s="55"/>
      <c r="J193" s="55"/>
      <c r="K193" s="55"/>
      <c r="L193" s="55"/>
      <c r="M193" s="55"/>
    </row>
    <row r="194" spans="2:13" s="7" customFormat="1" ht="18.75">
      <c r="B194" s="40"/>
      <c r="C194" s="33"/>
      <c r="D194" s="54"/>
      <c r="E194" s="55"/>
      <c r="F194" s="55"/>
      <c r="G194" s="55"/>
      <c r="H194" s="55"/>
      <c r="I194" s="55"/>
      <c r="J194" s="55"/>
      <c r="K194" s="55"/>
      <c r="L194" s="55"/>
      <c r="M194" s="55"/>
    </row>
    <row r="195" spans="2:13" s="7" customFormat="1" ht="18.75">
      <c r="B195" s="40"/>
      <c r="C195" s="33"/>
      <c r="D195" s="54"/>
      <c r="E195" s="55"/>
      <c r="F195" s="55"/>
      <c r="G195" s="55"/>
      <c r="H195" s="55"/>
      <c r="I195" s="55"/>
      <c r="J195" s="55"/>
      <c r="K195" s="55"/>
      <c r="L195" s="55"/>
      <c r="M195" s="55"/>
    </row>
    <row r="196" spans="2:13" s="7" customFormat="1" ht="18.75">
      <c r="B196" s="38"/>
      <c r="C196" s="33"/>
      <c r="D196" s="54"/>
      <c r="E196" s="55"/>
      <c r="F196" s="55"/>
      <c r="G196" s="55"/>
      <c r="H196" s="55"/>
      <c r="I196" s="55"/>
      <c r="J196" s="55"/>
      <c r="K196" s="55"/>
      <c r="L196" s="55"/>
      <c r="M196" s="55"/>
    </row>
    <row r="197" spans="2:13" s="7" customFormat="1" ht="18.75">
      <c r="B197" s="38"/>
      <c r="C197" s="33"/>
      <c r="D197" s="55"/>
      <c r="E197" s="55"/>
      <c r="F197" s="55"/>
      <c r="G197" s="55"/>
      <c r="H197" s="55"/>
      <c r="I197" s="55"/>
      <c r="J197" s="55"/>
      <c r="K197" s="55"/>
      <c r="L197" s="55"/>
      <c r="M197" s="55"/>
    </row>
    <row r="198" spans="2:13" s="7" customFormat="1" ht="18.75">
      <c r="B198" s="38"/>
      <c r="C198" s="33"/>
      <c r="D198" s="54"/>
      <c r="E198" s="55"/>
      <c r="F198" s="55"/>
      <c r="G198" s="55"/>
      <c r="H198" s="55"/>
      <c r="I198" s="55"/>
      <c r="J198" s="55"/>
      <c r="K198" s="55"/>
      <c r="L198" s="55"/>
      <c r="M198" s="55"/>
    </row>
    <row r="199" spans="2:13" s="7" customFormat="1" ht="18.75">
      <c r="B199" s="38"/>
      <c r="C199" s="33"/>
      <c r="D199" s="54"/>
      <c r="E199" s="55"/>
      <c r="F199" s="55"/>
      <c r="G199" s="55"/>
      <c r="H199" s="55"/>
      <c r="I199" s="55"/>
      <c r="J199" s="55"/>
      <c r="K199" s="55"/>
      <c r="L199" s="55"/>
      <c r="M199" s="55"/>
    </row>
    <row r="200" spans="2:13" s="7" customFormat="1" ht="18.75">
      <c r="B200" s="38"/>
      <c r="C200" s="33"/>
      <c r="D200" s="54"/>
      <c r="E200" s="55"/>
      <c r="F200" s="55"/>
      <c r="G200" s="55"/>
      <c r="H200" s="55"/>
      <c r="I200" s="55"/>
      <c r="J200" s="66"/>
      <c r="K200" s="55"/>
      <c r="L200" s="55"/>
      <c r="M200" s="55"/>
    </row>
    <row r="201" spans="2:13" s="7" customFormat="1" ht="18.75">
      <c r="B201" s="40"/>
      <c r="C201" s="33"/>
      <c r="D201" s="55"/>
      <c r="E201" s="55"/>
      <c r="F201" s="55"/>
      <c r="G201" s="55"/>
      <c r="H201" s="55"/>
      <c r="I201" s="55"/>
      <c r="J201" s="55"/>
      <c r="K201" s="55"/>
      <c r="L201" s="55"/>
      <c r="M201" s="55"/>
    </row>
    <row r="202" spans="2:13" s="7" customFormat="1" ht="18.75">
      <c r="B202" s="40"/>
      <c r="C202" s="33"/>
      <c r="D202" s="54"/>
      <c r="E202" s="55"/>
      <c r="F202" s="55"/>
      <c r="G202" s="55"/>
      <c r="H202" s="55"/>
      <c r="I202" s="55"/>
      <c r="J202" s="55"/>
      <c r="K202" s="55"/>
      <c r="L202" s="55"/>
      <c r="M202" s="55"/>
    </row>
    <row r="203" spans="2:13" s="7" customFormat="1" ht="18.75">
      <c r="B203" s="40"/>
      <c r="C203" s="33"/>
      <c r="D203" s="54"/>
      <c r="E203" s="55"/>
      <c r="F203" s="55"/>
      <c r="G203" s="55"/>
      <c r="H203" s="55"/>
      <c r="I203" s="55"/>
      <c r="J203" s="55"/>
      <c r="K203" s="55"/>
      <c r="L203" s="55"/>
      <c r="M203" s="55"/>
    </row>
    <row r="204" spans="2:13" s="7" customFormat="1" ht="18.75">
      <c r="B204" s="38"/>
      <c r="C204" s="33"/>
      <c r="D204" s="55"/>
      <c r="E204" s="55"/>
      <c r="F204" s="55"/>
      <c r="G204" s="55"/>
      <c r="H204" s="55"/>
      <c r="I204" s="55"/>
      <c r="J204" s="55"/>
      <c r="K204" s="55"/>
      <c r="L204" s="55"/>
      <c r="M204" s="55"/>
    </row>
    <row r="205" spans="2:13" s="7" customFormat="1" ht="38.25" customHeight="1">
      <c r="B205" s="40"/>
      <c r="C205" s="33"/>
      <c r="D205" s="54"/>
      <c r="E205" s="55"/>
      <c r="F205" s="55"/>
      <c r="G205" s="55"/>
      <c r="H205" s="55"/>
      <c r="I205" s="55"/>
      <c r="J205" s="55"/>
      <c r="K205" s="55"/>
      <c r="L205" s="55"/>
      <c r="M205" s="55"/>
    </row>
    <row r="206" spans="2:13" s="7" customFormat="1" ht="18.75">
      <c r="B206" s="40"/>
      <c r="C206" s="41"/>
      <c r="D206" s="63"/>
      <c r="E206" s="55"/>
      <c r="F206" s="55"/>
      <c r="G206" s="55"/>
      <c r="H206" s="55"/>
      <c r="I206" s="55"/>
      <c r="J206" s="55"/>
      <c r="K206" s="55"/>
      <c r="L206" s="55"/>
      <c r="M206" s="55"/>
    </row>
    <row r="207" spans="2:13" s="7" customFormat="1" ht="18.75">
      <c r="B207" s="4"/>
      <c r="C207" s="33"/>
      <c r="D207" s="55"/>
      <c r="E207" s="55"/>
      <c r="F207" s="55"/>
      <c r="G207" s="55"/>
      <c r="H207" s="55"/>
      <c r="I207" s="55"/>
      <c r="J207" s="55"/>
      <c r="K207" s="55"/>
      <c r="L207" s="55"/>
      <c r="M207" s="55"/>
    </row>
    <row r="208" spans="2:13" s="7" customFormat="1" ht="18.75">
      <c r="B208" s="38"/>
      <c r="C208" s="33"/>
      <c r="D208" s="55"/>
      <c r="E208" s="55"/>
      <c r="F208" s="55"/>
      <c r="G208" s="55"/>
      <c r="H208" s="55"/>
      <c r="I208" s="55"/>
      <c r="J208" s="55"/>
      <c r="K208" s="55"/>
      <c r="L208" s="66"/>
      <c r="M208" s="66"/>
    </row>
    <row r="209" spans="2:13" s="7" customFormat="1" ht="18.75">
      <c r="B209" s="38"/>
      <c r="C209" s="33"/>
      <c r="D209" s="55"/>
      <c r="E209" s="55"/>
      <c r="F209" s="55"/>
      <c r="G209" s="55"/>
      <c r="H209" s="55"/>
      <c r="I209" s="55"/>
      <c r="J209" s="55"/>
      <c r="K209" s="55"/>
      <c r="L209" s="55"/>
      <c r="M209" s="55"/>
    </row>
    <row r="210" spans="2:13" s="7" customFormat="1" ht="18.75">
      <c r="B210" s="38"/>
      <c r="C210" s="33"/>
      <c r="D210" s="55"/>
      <c r="E210" s="55"/>
      <c r="F210" s="55"/>
      <c r="G210" s="55"/>
      <c r="H210" s="55"/>
      <c r="I210" s="55"/>
      <c r="J210" s="55"/>
      <c r="K210" s="55"/>
      <c r="L210" s="55"/>
      <c r="M210" s="55"/>
    </row>
    <row r="211" spans="2:13" s="7" customFormat="1" ht="18.75">
      <c r="B211" s="4"/>
      <c r="C211" s="33"/>
      <c r="D211" s="54"/>
      <c r="E211" s="55"/>
      <c r="F211" s="55"/>
      <c r="G211" s="55"/>
      <c r="H211" s="55"/>
      <c r="I211" s="55"/>
      <c r="J211" s="55"/>
      <c r="K211" s="55"/>
      <c r="L211" s="55"/>
      <c r="M211" s="55"/>
    </row>
    <row r="212" spans="2:13" s="7" customFormat="1" ht="18.75">
      <c r="B212" s="4"/>
      <c r="C212" s="33"/>
      <c r="D212" s="54"/>
      <c r="E212" s="55"/>
      <c r="F212" s="55"/>
      <c r="G212" s="55"/>
      <c r="H212" s="55"/>
      <c r="I212" s="55"/>
      <c r="J212" s="55"/>
      <c r="K212" s="55"/>
      <c r="L212" s="55"/>
      <c r="M212" s="55"/>
    </row>
    <row r="213" spans="2:13" s="7" customFormat="1" ht="18.75">
      <c r="B213" s="38"/>
      <c r="C213" s="33"/>
      <c r="D213" s="54"/>
      <c r="E213" s="55"/>
      <c r="F213" s="55"/>
      <c r="G213" s="55"/>
      <c r="H213" s="55"/>
      <c r="I213" s="55"/>
      <c r="J213" s="55"/>
      <c r="K213" s="55"/>
      <c r="L213" s="55"/>
      <c r="M213" s="55"/>
    </row>
    <row r="214" spans="2:13" s="7" customFormat="1" ht="18.75">
      <c r="B214" s="38"/>
      <c r="C214" s="33"/>
      <c r="D214" s="54"/>
      <c r="E214" s="55"/>
      <c r="F214" s="55"/>
      <c r="G214" s="55"/>
      <c r="H214" s="55"/>
      <c r="I214" s="55"/>
      <c r="J214" s="55"/>
      <c r="K214" s="55"/>
      <c r="L214" s="55"/>
      <c r="M214" s="55"/>
    </row>
    <row r="215" spans="2:13" s="7" customFormat="1" ht="18.75">
      <c r="B215" s="38"/>
      <c r="C215" s="33"/>
      <c r="D215" s="55"/>
      <c r="E215" s="55"/>
      <c r="F215" s="55"/>
      <c r="G215" s="55"/>
      <c r="H215" s="55"/>
      <c r="I215" s="55"/>
      <c r="J215" s="55"/>
      <c r="K215" s="55"/>
      <c r="L215" s="55"/>
      <c r="M215" s="55"/>
    </row>
    <row r="216" spans="2:13" s="7" customFormat="1" ht="18.75">
      <c r="B216" s="38"/>
      <c r="C216" s="33"/>
      <c r="D216" s="54"/>
      <c r="E216" s="55"/>
      <c r="F216" s="55"/>
      <c r="G216" s="55"/>
      <c r="H216" s="55"/>
      <c r="I216" s="55"/>
      <c r="J216" s="55"/>
      <c r="K216" s="55"/>
      <c r="L216" s="55"/>
      <c r="M216" s="55"/>
    </row>
    <row r="217" spans="2:13" s="7" customFormat="1" ht="18.75">
      <c r="B217" s="38"/>
      <c r="C217" s="33"/>
      <c r="D217" s="54"/>
      <c r="E217" s="55"/>
      <c r="F217" s="55"/>
      <c r="G217" s="55"/>
      <c r="H217" s="55"/>
      <c r="I217" s="55"/>
      <c r="J217" s="55"/>
      <c r="K217" s="55"/>
      <c r="L217" s="55"/>
      <c r="M217" s="55"/>
    </row>
    <row r="218" spans="2:13" s="7" customFormat="1" ht="18.75">
      <c r="B218" s="38"/>
      <c r="C218" s="33"/>
      <c r="D218" s="55"/>
      <c r="E218" s="55"/>
      <c r="F218" s="55"/>
      <c r="G218" s="55"/>
      <c r="H218" s="55"/>
      <c r="I218" s="55"/>
      <c r="J218" s="55"/>
      <c r="K218" s="55"/>
      <c r="L218" s="55"/>
      <c r="M218" s="55"/>
    </row>
    <row r="219" spans="2:13" s="7" customFormat="1" ht="18.75">
      <c r="B219" s="38"/>
      <c r="C219" s="33"/>
      <c r="D219" s="54"/>
      <c r="E219" s="55"/>
      <c r="F219" s="55"/>
      <c r="G219" s="55"/>
      <c r="H219" s="55"/>
      <c r="I219" s="55"/>
      <c r="J219" s="55"/>
      <c r="K219" s="55"/>
      <c r="L219" s="55"/>
      <c r="M219" s="55"/>
    </row>
    <row r="220" spans="2:13" s="7" customFormat="1" ht="18.75">
      <c r="B220" s="38"/>
      <c r="C220" s="33"/>
      <c r="D220" s="54"/>
      <c r="E220" s="55"/>
      <c r="F220" s="55"/>
      <c r="G220" s="55"/>
      <c r="H220" s="55"/>
      <c r="I220" s="55"/>
      <c r="J220" s="55"/>
      <c r="K220" s="55"/>
      <c r="L220" s="55"/>
      <c r="M220" s="55"/>
    </row>
    <row r="221" spans="2:13" s="7" customFormat="1" ht="18.75">
      <c r="B221" s="38"/>
      <c r="C221" s="33"/>
      <c r="D221" s="55"/>
      <c r="E221" s="55"/>
      <c r="F221" s="55"/>
      <c r="G221" s="55"/>
      <c r="H221" s="55"/>
      <c r="I221" s="55"/>
      <c r="J221" s="55"/>
      <c r="K221" s="55"/>
      <c r="L221" s="55"/>
      <c r="M221" s="55"/>
    </row>
    <row r="222" spans="2:13" s="7" customFormat="1" ht="18.75">
      <c r="B222" s="38"/>
      <c r="C222" s="33"/>
      <c r="D222" s="54"/>
      <c r="E222" s="55"/>
      <c r="F222" s="55"/>
      <c r="G222" s="55"/>
      <c r="H222" s="55"/>
      <c r="I222" s="55"/>
      <c r="J222" s="55"/>
      <c r="K222" s="55"/>
      <c r="L222" s="55"/>
      <c r="M222" s="55"/>
    </row>
    <row r="223" spans="2:13" s="7" customFormat="1" ht="18.75">
      <c r="B223" s="40"/>
      <c r="C223" s="33"/>
      <c r="D223" s="54"/>
      <c r="E223" s="55"/>
      <c r="F223" s="55"/>
      <c r="G223" s="55"/>
      <c r="H223" s="55"/>
      <c r="I223" s="55"/>
      <c r="J223" s="55"/>
      <c r="K223" s="55"/>
      <c r="L223" s="55"/>
      <c r="M223" s="55"/>
    </row>
    <row r="224" spans="2:13" s="7" customFormat="1" ht="18.75">
      <c r="B224" s="40"/>
      <c r="C224" s="33"/>
      <c r="D224" s="54"/>
      <c r="E224" s="55"/>
      <c r="F224" s="55"/>
      <c r="G224" s="55"/>
      <c r="H224" s="55"/>
      <c r="I224" s="55"/>
      <c r="J224" s="55"/>
      <c r="K224" s="55"/>
      <c r="L224" s="55"/>
      <c r="M224" s="55"/>
    </row>
    <row r="225" spans="2:13" s="7" customFormat="1" ht="18.75">
      <c r="B225" s="40"/>
      <c r="C225" s="33"/>
      <c r="D225" s="54"/>
      <c r="E225" s="55"/>
      <c r="F225" s="55"/>
      <c r="G225" s="55"/>
      <c r="H225" s="55"/>
      <c r="I225" s="55"/>
      <c r="J225" s="55"/>
      <c r="K225" s="55"/>
      <c r="L225" s="55"/>
      <c r="M225" s="55"/>
    </row>
    <row r="226" spans="2:13" s="7" customFormat="1" ht="18.75">
      <c r="B226" s="40"/>
      <c r="C226" s="33"/>
      <c r="D226" s="54"/>
      <c r="E226" s="55"/>
      <c r="F226" s="55"/>
      <c r="G226" s="55"/>
      <c r="H226" s="55"/>
      <c r="I226" s="55"/>
      <c r="J226" s="55"/>
      <c r="K226" s="55"/>
      <c r="L226" s="55"/>
      <c r="M226" s="55"/>
    </row>
    <row r="227" spans="2:13" s="7" customFormat="1" ht="18.75" customHeight="1">
      <c r="B227" s="40"/>
      <c r="C227" s="33"/>
      <c r="D227" s="54"/>
      <c r="E227" s="55"/>
      <c r="F227" s="55"/>
      <c r="G227" s="55"/>
      <c r="H227" s="55"/>
      <c r="I227" s="55"/>
      <c r="J227" s="55"/>
      <c r="K227" s="55"/>
      <c r="L227" s="55"/>
      <c r="M227" s="55"/>
    </row>
    <row r="228" spans="2:13" s="7" customFormat="1" ht="18.75">
      <c r="B228" s="40"/>
      <c r="C228" s="33"/>
      <c r="D228" s="54"/>
      <c r="E228" s="55"/>
      <c r="F228" s="55"/>
      <c r="G228" s="55"/>
      <c r="H228" s="55"/>
      <c r="I228" s="55"/>
      <c r="J228" s="55"/>
      <c r="K228" s="55"/>
      <c r="L228" s="55"/>
      <c r="M228" s="55"/>
    </row>
    <row r="229" spans="2:13" s="7" customFormat="1" ht="18.75">
      <c r="B229" s="4"/>
      <c r="C229" s="33"/>
      <c r="D229" s="54"/>
      <c r="E229" s="55"/>
      <c r="F229" s="55"/>
      <c r="G229" s="55"/>
      <c r="H229" s="55"/>
      <c r="I229" s="55"/>
      <c r="J229" s="55"/>
      <c r="K229" s="55"/>
      <c r="L229" s="55"/>
      <c r="M229" s="55"/>
    </row>
    <row r="230" spans="2:13" s="7" customFormat="1" ht="18.75">
      <c r="B230" s="38"/>
      <c r="C230" s="33"/>
      <c r="D230" s="54"/>
      <c r="E230" s="55"/>
      <c r="F230" s="55"/>
      <c r="G230" s="55"/>
      <c r="H230" s="55"/>
      <c r="I230" s="55"/>
      <c r="J230" s="55"/>
      <c r="K230" s="55"/>
      <c r="L230" s="55"/>
      <c r="M230" s="55"/>
    </row>
    <row r="231" spans="2:13" s="7" customFormat="1" ht="18.75">
      <c r="B231" s="38"/>
      <c r="C231" s="33"/>
      <c r="D231" s="55"/>
      <c r="E231" s="55"/>
      <c r="F231" s="55"/>
      <c r="G231" s="55"/>
      <c r="H231" s="55"/>
      <c r="I231" s="55"/>
      <c r="J231" s="55"/>
      <c r="K231" s="55"/>
      <c r="L231" s="55"/>
      <c r="M231" s="55"/>
    </row>
    <row r="232" spans="2:13" s="7" customFormat="1" ht="18.75">
      <c r="B232" s="38"/>
      <c r="C232" s="33"/>
      <c r="D232" s="54"/>
      <c r="E232" s="55"/>
      <c r="F232" s="55"/>
      <c r="G232" s="55"/>
      <c r="H232" s="55"/>
      <c r="I232" s="55"/>
      <c r="J232" s="55"/>
      <c r="K232" s="55"/>
      <c r="L232" s="55"/>
      <c r="M232" s="55"/>
    </row>
    <row r="233" spans="2:13" s="7" customFormat="1" ht="18.75">
      <c r="B233" s="38"/>
      <c r="C233" s="41"/>
      <c r="D233" s="55"/>
      <c r="E233" s="55"/>
      <c r="F233" s="55"/>
      <c r="G233" s="55"/>
      <c r="H233" s="55"/>
      <c r="I233" s="55"/>
      <c r="J233" s="55"/>
      <c r="K233" s="55"/>
      <c r="L233" s="55"/>
      <c r="M233" s="55"/>
    </row>
    <row r="234" spans="2:13" s="7" customFormat="1" ht="18.75">
      <c r="B234" s="38"/>
      <c r="C234" s="33"/>
      <c r="D234" s="54"/>
      <c r="E234" s="55"/>
      <c r="F234" s="55"/>
      <c r="G234" s="55"/>
      <c r="H234" s="55"/>
      <c r="I234" s="55"/>
      <c r="J234" s="55"/>
      <c r="K234" s="55"/>
      <c r="L234" s="55"/>
      <c r="M234" s="55"/>
    </row>
    <row r="235" spans="2:13" s="7" customFormat="1" ht="18.75">
      <c r="B235" s="40"/>
      <c r="C235" s="33"/>
      <c r="D235" s="55"/>
      <c r="E235" s="55"/>
      <c r="F235" s="55"/>
      <c r="G235" s="55"/>
      <c r="H235" s="55"/>
      <c r="I235" s="55"/>
      <c r="J235" s="55"/>
      <c r="K235" s="55"/>
      <c r="L235" s="55"/>
      <c r="M235" s="55"/>
    </row>
    <row r="236" spans="2:13" s="7" customFormat="1" ht="18.75">
      <c r="B236" s="4"/>
      <c r="C236" s="33"/>
      <c r="D236" s="54"/>
      <c r="E236" s="55"/>
      <c r="F236" s="55"/>
      <c r="G236" s="55"/>
      <c r="H236" s="55"/>
      <c r="I236" s="55"/>
      <c r="J236" s="55"/>
      <c r="K236" s="55"/>
      <c r="L236" s="55"/>
      <c r="M236" s="55"/>
    </row>
    <row r="237" spans="2:13" s="7" customFormat="1" ht="18.75">
      <c r="B237" s="40"/>
      <c r="C237" s="33"/>
      <c r="D237" s="54"/>
      <c r="E237" s="55"/>
      <c r="F237" s="55"/>
      <c r="G237" s="55"/>
      <c r="H237" s="55"/>
      <c r="I237" s="55"/>
      <c r="J237" s="55"/>
      <c r="K237" s="55"/>
      <c r="L237" s="55"/>
      <c r="M237" s="55"/>
    </row>
    <row r="238" spans="2:13" s="7" customFormat="1" ht="18.75">
      <c r="B238" s="40"/>
      <c r="C238" s="33"/>
      <c r="D238" s="54"/>
      <c r="E238" s="55"/>
      <c r="F238" s="55"/>
      <c r="G238" s="55"/>
      <c r="H238" s="55"/>
      <c r="I238" s="55"/>
      <c r="J238" s="55"/>
      <c r="K238" s="55"/>
      <c r="L238" s="55"/>
      <c r="M238" s="55"/>
    </row>
    <row r="239" spans="2:13" s="7" customFormat="1" ht="18.75">
      <c r="B239" s="40"/>
      <c r="C239" s="41"/>
      <c r="D239" s="54"/>
      <c r="E239" s="55"/>
      <c r="F239" s="55"/>
      <c r="G239" s="55"/>
      <c r="H239" s="55"/>
      <c r="I239" s="55"/>
      <c r="J239" s="55"/>
      <c r="K239" s="55"/>
      <c r="L239" s="55"/>
      <c r="M239" s="55"/>
    </row>
    <row r="240" spans="2:13" s="7" customFormat="1" ht="18.75">
      <c r="B240" s="38"/>
      <c r="C240" s="41"/>
      <c r="D240" s="63"/>
      <c r="E240" s="55"/>
      <c r="F240" s="55"/>
      <c r="G240" s="55"/>
      <c r="H240" s="55"/>
      <c r="I240" s="55"/>
      <c r="J240" s="55"/>
      <c r="K240" s="55"/>
      <c r="L240" s="55"/>
      <c r="M240" s="55"/>
    </row>
    <row r="241" spans="2:13" s="7" customFormat="1" ht="18.75">
      <c r="B241" s="38"/>
      <c r="C241" s="41"/>
      <c r="D241" s="71"/>
      <c r="E241" s="72"/>
      <c r="F241" s="72"/>
      <c r="G241" s="72"/>
      <c r="H241" s="72"/>
      <c r="I241" s="72"/>
      <c r="J241" s="72"/>
      <c r="K241" s="72"/>
      <c r="L241" s="72"/>
      <c r="M241" s="72"/>
    </row>
    <row r="242" spans="2:13" s="7" customFormat="1" ht="38.25" customHeight="1">
      <c r="B242" s="38"/>
      <c r="C242" s="33"/>
      <c r="D242" s="71"/>
      <c r="E242" s="73"/>
      <c r="F242" s="73"/>
      <c r="G242" s="73"/>
      <c r="H242" s="73"/>
      <c r="I242" s="73"/>
      <c r="J242" s="73"/>
      <c r="K242" s="73"/>
      <c r="L242" s="73"/>
      <c r="M242" s="73"/>
    </row>
    <row r="243" spans="2:13" s="7" customFormat="1" ht="18.75">
      <c r="B243" s="40"/>
      <c r="C243" s="41"/>
      <c r="D243" s="71"/>
      <c r="E243" s="72"/>
      <c r="F243" s="72"/>
      <c r="G243" s="72"/>
      <c r="H243" s="72"/>
      <c r="I243" s="72"/>
      <c r="J243" s="72"/>
      <c r="K243" s="72"/>
      <c r="L243" s="72"/>
      <c r="M243" s="72"/>
    </row>
    <row r="244" spans="2:13" s="7" customFormat="1" ht="18.75">
      <c r="B244" s="40"/>
      <c r="C244" s="39"/>
      <c r="D244" s="71"/>
      <c r="E244" s="72"/>
      <c r="F244" s="72"/>
      <c r="G244" s="72"/>
      <c r="H244" s="72"/>
      <c r="I244" s="72"/>
      <c r="J244" s="72"/>
      <c r="K244" s="72"/>
      <c r="L244" s="72"/>
      <c r="M244" s="72"/>
    </row>
    <row r="245" spans="2:13" s="7" customFormat="1" ht="18.75">
      <c r="B245" s="38"/>
      <c r="C245" s="33"/>
      <c r="D245" s="54"/>
      <c r="E245" s="55"/>
      <c r="F245" s="55"/>
      <c r="G245" s="55"/>
      <c r="H245" s="55"/>
      <c r="I245" s="55"/>
      <c r="J245" s="55"/>
      <c r="K245" s="55"/>
      <c r="L245" s="55"/>
      <c r="M245" s="55"/>
    </row>
    <row r="246" spans="2:13" s="7" customFormat="1" ht="18.75">
      <c r="B246" s="38"/>
      <c r="C246" s="33"/>
      <c r="D246" s="54"/>
      <c r="E246" s="55"/>
      <c r="F246" s="55"/>
      <c r="G246" s="55"/>
      <c r="H246" s="55"/>
      <c r="I246" s="55"/>
      <c r="J246" s="55"/>
      <c r="K246" s="55"/>
      <c r="L246" s="55"/>
      <c r="M246" s="55"/>
    </row>
    <row r="247" spans="2:13" s="7" customFormat="1" ht="18.75">
      <c r="B247" s="40"/>
      <c r="C247" s="33"/>
      <c r="D247" s="54"/>
      <c r="E247" s="55"/>
      <c r="F247" s="55"/>
      <c r="G247" s="55"/>
      <c r="H247" s="55"/>
      <c r="I247" s="55"/>
      <c r="J247" s="55"/>
      <c r="K247" s="55"/>
      <c r="L247" s="55"/>
      <c r="M247" s="55"/>
    </row>
    <row r="248" spans="2:13" s="7" customFormat="1" ht="36" customHeight="1">
      <c r="B248" s="40"/>
      <c r="C248" s="41"/>
      <c r="D248" s="71"/>
      <c r="E248" s="72"/>
      <c r="F248" s="72"/>
      <c r="G248" s="72"/>
      <c r="H248" s="72"/>
      <c r="I248" s="72"/>
      <c r="J248" s="72"/>
      <c r="K248" s="72"/>
      <c r="L248" s="72"/>
      <c r="M248" s="72"/>
    </row>
    <row r="249" spans="2:13" s="7" customFormat="1" ht="18.75">
      <c r="B249" s="42"/>
      <c r="C249" s="33"/>
      <c r="D249" s="54"/>
      <c r="E249" s="55"/>
      <c r="F249" s="55"/>
      <c r="G249" s="55"/>
      <c r="H249" s="55"/>
      <c r="I249" s="55"/>
      <c r="J249" s="55"/>
      <c r="K249" s="55"/>
      <c r="L249" s="55"/>
      <c r="M249" s="55"/>
    </row>
    <row r="250" spans="2:13" s="7" customFormat="1" ht="39.75" customHeight="1">
      <c r="B250" s="40"/>
      <c r="C250" s="33"/>
      <c r="D250" s="71"/>
      <c r="E250" s="72"/>
      <c r="F250" s="72"/>
      <c r="G250" s="72"/>
      <c r="H250" s="72"/>
      <c r="I250" s="72"/>
      <c r="J250" s="72"/>
      <c r="K250" s="72"/>
      <c r="L250" s="72"/>
      <c r="M250" s="72"/>
    </row>
    <row r="251" spans="2:13" s="7" customFormat="1" ht="18.75">
      <c r="B251" s="40"/>
      <c r="C251" s="39"/>
      <c r="D251" s="71"/>
      <c r="E251" s="72"/>
      <c r="F251" s="72"/>
      <c r="G251" s="72"/>
      <c r="H251" s="72"/>
      <c r="I251" s="72"/>
      <c r="J251" s="72"/>
      <c r="K251" s="72"/>
      <c r="L251" s="72"/>
      <c r="M251" s="72"/>
    </row>
    <row r="252" spans="2:13" s="7" customFormat="1" ht="18.75">
      <c r="B252" s="40"/>
      <c r="C252" s="39"/>
      <c r="D252" s="71"/>
      <c r="E252" s="72"/>
      <c r="F252" s="72"/>
      <c r="G252" s="72"/>
      <c r="H252" s="72"/>
      <c r="I252" s="72"/>
      <c r="J252" s="72"/>
      <c r="K252" s="72"/>
      <c r="L252" s="72"/>
      <c r="M252" s="72"/>
    </row>
    <row r="253" spans="2:13" s="7" customFormat="1" ht="18.75">
      <c r="B253" s="38"/>
      <c r="C253" s="39"/>
      <c r="D253" s="64"/>
      <c r="E253" s="55"/>
      <c r="F253" s="55"/>
      <c r="G253" s="55"/>
      <c r="H253" s="55"/>
      <c r="I253" s="55"/>
      <c r="J253" s="55"/>
      <c r="K253" s="55"/>
      <c r="L253" s="55"/>
      <c r="M253" s="55"/>
    </row>
    <row r="254" spans="2:13" s="7" customFormat="1" ht="34.5" customHeight="1">
      <c r="B254" s="40"/>
      <c r="C254" s="39"/>
      <c r="D254" s="74"/>
      <c r="E254" s="72"/>
      <c r="F254" s="72"/>
      <c r="G254" s="72"/>
      <c r="H254" s="72"/>
      <c r="I254" s="72"/>
      <c r="J254" s="72"/>
      <c r="K254" s="72"/>
      <c r="L254" s="72"/>
      <c r="M254" s="72"/>
    </row>
    <row r="255" spans="2:13" s="7" customFormat="1" ht="18.75">
      <c r="B255" s="40"/>
      <c r="C255" s="39"/>
      <c r="D255" s="71"/>
      <c r="E255" s="72"/>
      <c r="F255" s="72"/>
      <c r="G255" s="72"/>
      <c r="H255" s="72"/>
      <c r="I255" s="72"/>
      <c r="J255" s="72"/>
      <c r="K255" s="72"/>
      <c r="L255" s="72"/>
      <c r="M255" s="72"/>
    </row>
    <row r="256" spans="2:13" s="7" customFormat="1" ht="18.75">
      <c r="B256" s="40"/>
      <c r="C256" s="39"/>
      <c r="D256" s="71"/>
      <c r="E256" s="72"/>
      <c r="F256" s="72"/>
      <c r="G256" s="72"/>
      <c r="H256" s="72"/>
      <c r="I256" s="72"/>
      <c r="J256" s="72"/>
      <c r="K256" s="72"/>
      <c r="L256" s="72"/>
      <c r="M256" s="72"/>
    </row>
    <row r="257" spans="2:13" s="7" customFormat="1" ht="18.75">
      <c r="B257" s="40"/>
      <c r="C257" s="39"/>
      <c r="D257" s="71"/>
      <c r="E257" s="72"/>
      <c r="F257" s="72"/>
      <c r="G257" s="72"/>
      <c r="H257" s="72"/>
      <c r="I257" s="72"/>
      <c r="J257" s="72"/>
      <c r="K257" s="72"/>
      <c r="L257" s="72"/>
      <c r="M257" s="72"/>
    </row>
    <row r="258" spans="2:13" s="7" customFormat="1" ht="18.75">
      <c r="B258" s="40"/>
      <c r="C258" s="39"/>
      <c r="D258" s="71"/>
      <c r="E258" s="72"/>
      <c r="F258" s="72"/>
      <c r="G258" s="72"/>
      <c r="H258" s="72"/>
      <c r="I258" s="72"/>
      <c r="J258" s="72"/>
      <c r="K258" s="72"/>
      <c r="L258" s="72"/>
      <c r="M258" s="72"/>
    </row>
    <row r="259" spans="2:13" s="7" customFormat="1" ht="17.25" customHeight="1">
      <c r="B259" s="4"/>
      <c r="C259" s="39"/>
      <c r="D259" s="54"/>
      <c r="E259" s="55"/>
      <c r="F259" s="55"/>
      <c r="G259" s="55"/>
      <c r="H259" s="55"/>
      <c r="I259" s="55"/>
      <c r="J259" s="55"/>
      <c r="K259" s="55"/>
      <c r="L259" s="55"/>
      <c r="M259" s="55"/>
    </row>
    <row r="260" spans="2:13" s="7" customFormat="1" ht="36" customHeight="1">
      <c r="B260" s="40"/>
      <c r="C260" s="39"/>
      <c r="D260" s="75"/>
      <c r="E260" s="73"/>
      <c r="F260" s="73"/>
      <c r="G260" s="73"/>
      <c r="H260" s="73"/>
      <c r="I260" s="73"/>
      <c r="J260" s="73"/>
      <c r="K260" s="73"/>
      <c r="L260" s="73"/>
      <c r="M260" s="73"/>
    </row>
    <row r="261" spans="2:13" s="7" customFormat="1" ht="36" customHeight="1">
      <c r="B261" s="40"/>
      <c r="C261" s="39"/>
      <c r="D261" s="75"/>
      <c r="E261" s="73"/>
      <c r="F261" s="73"/>
      <c r="G261" s="73"/>
      <c r="H261" s="73"/>
      <c r="I261" s="73"/>
      <c r="J261" s="73"/>
      <c r="K261" s="73"/>
      <c r="L261" s="73"/>
      <c r="M261" s="73"/>
    </row>
    <row r="262" spans="2:13" s="7" customFormat="1" ht="19.5" customHeight="1">
      <c r="B262" s="4"/>
      <c r="C262" s="33"/>
      <c r="D262" s="54"/>
      <c r="E262" s="55"/>
      <c r="F262" s="55"/>
      <c r="G262" s="55"/>
      <c r="H262" s="55"/>
      <c r="I262" s="55"/>
      <c r="J262" s="55"/>
      <c r="K262" s="55"/>
      <c r="L262" s="55"/>
      <c r="M262" s="55"/>
    </row>
    <row r="263" spans="2:13" s="7" customFormat="1" ht="18.75">
      <c r="B263" s="38"/>
      <c r="C263" s="44"/>
      <c r="D263" s="76"/>
      <c r="E263" s="55"/>
      <c r="F263" s="55"/>
      <c r="G263" s="55"/>
      <c r="H263" s="55"/>
      <c r="I263" s="55"/>
      <c r="J263" s="55"/>
      <c r="K263" s="55"/>
      <c r="L263" s="55"/>
      <c r="M263" s="55"/>
    </row>
    <row r="264" spans="2:13" s="7" customFormat="1" ht="18.75">
      <c r="B264" s="38"/>
      <c r="C264" s="33"/>
      <c r="D264" s="71"/>
      <c r="E264" s="72"/>
      <c r="F264" s="72"/>
      <c r="G264" s="72"/>
      <c r="H264" s="72"/>
      <c r="I264" s="72"/>
      <c r="J264" s="72"/>
      <c r="K264" s="72"/>
      <c r="L264" s="72"/>
      <c r="M264" s="72"/>
    </row>
    <row r="265" spans="2:13" s="7" customFormat="1" ht="18.75">
      <c r="B265" s="38"/>
      <c r="C265" s="33"/>
      <c r="D265" s="71"/>
      <c r="E265" s="72"/>
      <c r="F265" s="72"/>
      <c r="G265" s="72"/>
      <c r="H265" s="72"/>
      <c r="I265" s="72"/>
      <c r="J265" s="72"/>
      <c r="K265" s="72"/>
      <c r="L265" s="72"/>
      <c r="M265" s="72"/>
    </row>
    <row r="266" spans="2:13" s="7" customFormat="1" ht="18.75">
      <c r="B266" s="38"/>
      <c r="C266" s="33"/>
      <c r="D266" s="71"/>
      <c r="E266" s="72"/>
      <c r="F266" s="72"/>
      <c r="G266" s="72"/>
      <c r="H266" s="72"/>
      <c r="I266" s="72"/>
      <c r="J266" s="72"/>
      <c r="K266" s="72"/>
      <c r="L266" s="72"/>
      <c r="M266" s="72"/>
    </row>
    <row r="267" spans="2:13" s="7" customFormat="1" ht="18.75">
      <c r="B267" s="38"/>
      <c r="C267" s="33"/>
      <c r="D267" s="54"/>
      <c r="E267" s="55"/>
      <c r="F267" s="55"/>
      <c r="G267" s="55"/>
      <c r="H267" s="55"/>
      <c r="I267" s="55"/>
      <c r="J267" s="55"/>
      <c r="K267" s="55"/>
      <c r="L267" s="55"/>
      <c r="M267" s="55"/>
    </row>
    <row r="268" spans="2:13" s="7" customFormat="1" ht="18.75">
      <c r="B268" s="38"/>
      <c r="C268" s="39"/>
      <c r="D268" s="71"/>
      <c r="E268" s="72"/>
      <c r="F268" s="72"/>
      <c r="G268" s="72"/>
      <c r="H268" s="72"/>
      <c r="I268" s="72"/>
      <c r="J268" s="72"/>
      <c r="K268" s="72"/>
      <c r="L268" s="72"/>
      <c r="M268" s="72"/>
    </row>
    <row r="269" spans="2:13" s="7" customFormat="1" ht="18.75">
      <c r="B269" s="38"/>
      <c r="C269" s="33"/>
      <c r="D269" s="54"/>
      <c r="E269" s="55"/>
      <c r="F269" s="55"/>
      <c r="G269" s="55"/>
      <c r="H269" s="55"/>
      <c r="I269" s="55"/>
      <c r="J269" s="55"/>
      <c r="K269" s="55"/>
      <c r="L269" s="55"/>
      <c r="M269" s="55"/>
    </row>
    <row r="270" spans="2:13" s="7" customFormat="1" ht="18.75">
      <c r="B270" s="38"/>
      <c r="C270" s="39"/>
      <c r="D270" s="71"/>
      <c r="E270" s="72"/>
      <c r="F270" s="72"/>
      <c r="G270" s="72"/>
      <c r="H270" s="72"/>
      <c r="I270" s="72"/>
      <c r="J270" s="72"/>
      <c r="K270" s="72"/>
      <c r="L270" s="72"/>
      <c r="M270" s="72"/>
    </row>
    <row r="271" spans="2:13" s="7" customFormat="1" ht="18.75">
      <c r="B271" s="38"/>
      <c r="C271" s="39"/>
      <c r="D271" s="75"/>
      <c r="E271" s="73"/>
      <c r="F271" s="73"/>
      <c r="G271" s="73"/>
      <c r="H271" s="73"/>
      <c r="I271" s="73"/>
      <c r="J271" s="73"/>
      <c r="K271" s="73"/>
      <c r="L271" s="73"/>
      <c r="M271" s="73"/>
    </row>
    <row r="272" spans="2:13" s="7" customFormat="1" ht="18.75">
      <c r="B272" s="4"/>
      <c r="C272" s="33"/>
      <c r="D272" s="54"/>
      <c r="E272" s="55"/>
      <c r="F272" s="55"/>
      <c r="G272" s="55"/>
      <c r="H272" s="55"/>
      <c r="I272" s="55"/>
      <c r="J272" s="55"/>
      <c r="K272" s="55"/>
      <c r="L272" s="55"/>
      <c r="M272" s="55"/>
    </row>
    <row r="273" spans="2:13" s="7" customFormat="1" ht="18.75">
      <c r="B273" s="40"/>
      <c r="C273" s="39"/>
      <c r="D273" s="64"/>
      <c r="E273" s="55"/>
      <c r="F273" s="55"/>
      <c r="G273" s="55"/>
      <c r="H273" s="55"/>
      <c r="I273" s="55"/>
      <c r="J273" s="55"/>
      <c r="K273" s="55"/>
      <c r="L273" s="55"/>
      <c r="M273" s="55"/>
    </row>
    <row r="274" spans="2:14" s="7" customFormat="1" ht="18.75">
      <c r="B274" s="40"/>
      <c r="C274" s="39"/>
      <c r="D274" s="64"/>
      <c r="E274" s="55"/>
      <c r="F274" s="55"/>
      <c r="G274" s="55"/>
      <c r="H274" s="55"/>
      <c r="I274" s="55"/>
      <c r="J274" s="55"/>
      <c r="K274" s="55"/>
      <c r="L274" s="55"/>
      <c r="M274" s="55"/>
      <c r="N274" s="6"/>
    </row>
    <row r="275" spans="2:13" s="7" customFormat="1" ht="18.75">
      <c r="B275" s="40"/>
      <c r="C275" s="39"/>
      <c r="D275" s="71"/>
      <c r="E275" s="72"/>
      <c r="F275" s="72"/>
      <c r="G275" s="72"/>
      <c r="H275" s="72"/>
      <c r="I275" s="72"/>
      <c r="J275" s="72"/>
      <c r="K275" s="72"/>
      <c r="L275" s="72"/>
      <c r="M275" s="72"/>
    </row>
    <row r="276" spans="2:13" s="7" customFormat="1" ht="18.75">
      <c r="B276" s="40"/>
      <c r="C276" s="33"/>
      <c r="D276" s="71"/>
      <c r="E276" s="72"/>
      <c r="F276" s="72"/>
      <c r="G276" s="72"/>
      <c r="H276" s="72"/>
      <c r="I276" s="72"/>
      <c r="J276" s="72"/>
      <c r="K276" s="72"/>
      <c r="L276" s="72"/>
      <c r="M276" s="72"/>
    </row>
    <row r="277" spans="2:13" s="7" customFormat="1" ht="18.75">
      <c r="B277" s="40"/>
      <c r="C277" s="39"/>
      <c r="D277" s="71"/>
      <c r="E277" s="72"/>
      <c r="F277" s="72"/>
      <c r="G277" s="72"/>
      <c r="H277" s="72"/>
      <c r="I277" s="72"/>
      <c r="J277" s="72"/>
      <c r="K277" s="72"/>
      <c r="L277" s="72"/>
      <c r="M277" s="72"/>
    </row>
    <row r="278" spans="4:13" s="7" customFormat="1" ht="12.75">
      <c r="D278" s="66"/>
      <c r="E278" s="66"/>
      <c r="F278" s="66"/>
      <c r="G278" s="66"/>
      <c r="H278" s="66"/>
      <c r="I278" s="66"/>
      <c r="J278" s="66"/>
      <c r="K278" s="66"/>
      <c r="L278" s="66"/>
      <c r="M278" s="66"/>
    </row>
  </sheetData>
  <sheetProtection/>
  <mergeCells count="51">
    <mergeCell ref="L28:L29"/>
    <mergeCell ref="L25:L26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C25:C26"/>
    <mergeCell ref="D25:D26"/>
    <mergeCell ref="E25:E26"/>
    <mergeCell ref="F25:F26"/>
    <mergeCell ref="G25:G26"/>
    <mergeCell ref="H25:H26"/>
    <mergeCell ref="P47:AF47"/>
    <mergeCell ref="I2:L2"/>
    <mergeCell ref="I3:L3"/>
    <mergeCell ref="I4:L4"/>
    <mergeCell ref="G10:H10"/>
    <mergeCell ref="I10:J10"/>
    <mergeCell ref="K10:L10"/>
    <mergeCell ref="I25:I26"/>
    <mergeCell ref="J25:J26"/>
    <mergeCell ref="K25:K26"/>
    <mergeCell ref="D9:E9"/>
    <mergeCell ref="I1:L1"/>
    <mergeCell ref="B5:L5"/>
    <mergeCell ref="B6:L6"/>
    <mergeCell ref="B7:L7"/>
    <mergeCell ref="B9:B11"/>
    <mergeCell ref="C9:C11"/>
    <mergeCell ref="E10:E11"/>
    <mergeCell ref="F10:F11"/>
    <mergeCell ref="D10:D11"/>
    <mergeCell ref="B13:B14"/>
    <mergeCell ref="B16:B17"/>
    <mergeCell ref="B19:B20"/>
    <mergeCell ref="B22:B23"/>
    <mergeCell ref="B25:B30"/>
    <mergeCell ref="B57:B58"/>
    <mergeCell ref="B60:B61"/>
    <mergeCell ref="B62:B63"/>
    <mergeCell ref="B64:B65"/>
    <mergeCell ref="B66:B67"/>
    <mergeCell ref="B31:B32"/>
    <mergeCell ref="B38:B39"/>
    <mergeCell ref="B44:B45"/>
    <mergeCell ref="B47:B48"/>
  </mergeCells>
  <printOptions/>
  <pageMargins left="0.5511811023622047" right="0.5118110236220472" top="0.7480314960629921" bottom="0.6692913385826772" header="0.31496062992125984" footer="0.31496062992125984"/>
  <pageSetup fitToHeight="0" fitToWidth="1" horizontalDpi="600" verticalDpi="600" orientation="landscape" paperSize="9" scale="54" r:id="rId3"/>
  <headerFooter differentFirst="1" scaleWithDoc="0" alignWithMargins="0">
    <oddHeader>&amp;C&amp;P</oddHeader>
    <evenHeader>&amp;C4</evenHeader>
  </headerFooter>
  <rowBreaks count="2" manualBreakCount="2">
    <brk id="42" min="1" max="11" man="1"/>
    <brk id="102" min="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zoomScalePageLayoutView="0" workbookViewId="0" topLeftCell="A196">
      <selection activeCell="A196" sqref="A196:M215"/>
    </sheetView>
  </sheetViews>
  <sheetFormatPr defaultColWidth="9.00390625" defaultRowHeight="12.75"/>
  <cols>
    <col min="1" max="1" width="36.25390625" style="0" customWidth="1"/>
    <col min="2" max="2" width="20.25390625" style="0" customWidth="1"/>
    <col min="4" max="4" width="10.25390625" style="0" customWidth="1"/>
  </cols>
  <sheetData>
    <row r="1" spans="1:10" ht="20.25">
      <c r="A1" s="123" t="s">
        <v>6</v>
      </c>
      <c r="E1">
        <v>2020</v>
      </c>
      <c r="F1" s="297">
        <v>2021</v>
      </c>
      <c r="G1" s="297"/>
      <c r="H1" s="297">
        <v>2022</v>
      </c>
      <c r="I1" s="297"/>
      <c r="J1">
        <v>2023</v>
      </c>
    </row>
    <row r="2" spans="1:13" ht="45">
      <c r="A2" s="105" t="s">
        <v>84</v>
      </c>
      <c r="B2" s="110"/>
      <c r="C2" s="112">
        <f aca="true" t="shared" si="0" ref="C2:M2">C5+C9</f>
        <v>10.103</v>
      </c>
      <c r="D2" s="112">
        <f t="shared" si="0"/>
        <v>158.34</v>
      </c>
      <c r="E2" s="112">
        <f t="shared" si="0"/>
        <v>17.5</v>
      </c>
      <c r="F2" s="112">
        <f t="shared" si="0"/>
        <v>77.12</v>
      </c>
      <c r="G2" s="112">
        <f t="shared" si="0"/>
        <v>371.322</v>
      </c>
      <c r="H2" s="112">
        <f t="shared" si="0"/>
        <v>77.12</v>
      </c>
      <c r="I2" s="112">
        <f t="shared" si="0"/>
        <v>432.188</v>
      </c>
      <c r="J2" s="112">
        <f t="shared" si="0"/>
        <v>77.12</v>
      </c>
      <c r="K2" s="113">
        <f t="shared" si="0"/>
        <v>475.119</v>
      </c>
      <c r="L2" s="113">
        <f t="shared" si="0"/>
        <v>0</v>
      </c>
      <c r="M2" s="113">
        <f t="shared" si="0"/>
        <v>92.295</v>
      </c>
    </row>
    <row r="3" spans="1:15" ht="30">
      <c r="A3" s="107" t="s">
        <v>85</v>
      </c>
      <c r="B3" s="114"/>
      <c r="C3" s="114"/>
      <c r="D3" s="114"/>
      <c r="E3" s="114"/>
      <c r="F3" s="114"/>
      <c r="G3" s="114"/>
      <c r="H3" s="114"/>
      <c r="I3" s="114"/>
      <c r="J3" s="114"/>
      <c r="K3" s="116"/>
      <c r="O3">
        <f>F2+F24+F47+F69</f>
        <v>318.528</v>
      </c>
    </row>
    <row r="4" spans="1:11" ht="30">
      <c r="A4" s="107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6"/>
    </row>
    <row r="5" spans="1:17" ht="30">
      <c r="A5" s="107" t="s">
        <v>87</v>
      </c>
      <c r="B5" s="114"/>
      <c r="C5" s="118">
        <f>C7+C8</f>
        <v>2.084</v>
      </c>
      <c r="D5" s="118">
        <f aca="true" t="shared" si="1" ref="D5:M5">D7+D8</f>
        <v>47.61</v>
      </c>
      <c r="E5" s="118">
        <f t="shared" si="1"/>
        <v>17.5</v>
      </c>
      <c r="F5" s="118">
        <f t="shared" si="1"/>
        <v>0</v>
      </c>
      <c r="G5" s="118">
        <f t="shared" si="1"/>
        <v>100.46</v>
      </c>
      <c r="H5" s="118">
        <f t="shared" si="1"/>
        <v>0</v>
      </c>
      <c r="I5" s="118">
        <f t="shared" si="1"/>
        <v>101.58</v>
      </c>
      <c r="J5" s="118">
        <f t="shared" si="1"/>
        <v>0</v>
      </c>
      <c r="K5" s="119">
        <f t="shared" si="1"/>
        <v>14.17</v>
      </c>
      <c r="L5" s="119">
        <f t="shared" si="1"/>
        <v>0</v>
      </c>
      <c r="M5" s="119">
        <f t="shared" si="1"/>
        <v>12.935</v>
      </c>
      <c r="Q5">
        <f>E7+E29+E52+E74</f>
        <v>0</v>
      </c>
    </row>
    <row r="6" spans="1:17" ht="15">
      <c r="A6" s="107" t="s">
        <v>88</v>
      </c>
      <c r="B6" s="114"/>
      <c r="C6" s="114"/>
      <c r="D6" s="114"/>
      <c r="E6" s="114"/>
      <c r="F6" s="114"/>
      <c r="G6" s="114"/>
      <c r="H6" s="114"/>
      <c r="I6" s="114"/>
      <c r="J6" s="114"/>
      <c r="K6" s="116"/>
      <c r="Q6">
        <f>E8+E30+E53+E75</f>
        <v>404.6</v>
      </c>
    </row>
    <row r="7" spans="1:11" ht="15">
      <c r="A7" s="107" t="s">
        <v>89</v>
      </c>
      <c r="B7" s="114"/>
      <c r="C7" s="114"/>
      <c r="D7" s="114"/>
      <c r="E7" s="114"/>
      <c r="F7" s="114"/>
      <c r="G7" s="114"/>
      <c r="H7" s="114"/>
      <c r="I7" s="114"/>
      <c r="J7" s="114"/>
      <c r="K7" s="116"/>
    </row>
    <row r="8" spans="1:13" ht="15">
      <c r="A8" s="107" t="s">
        <v>90</v>
      </c>
      <c r="B8" s="114"/>
      <c r="C8" s="114">
        <v>2.084</v>
      </c>
      <c r="D8" s="114">
        <v>47.61</v>
      </c>
      <c r="E8" s="114">
        <v>17.5</v>
      </c>
      <c r="F8" s="114">
        <v>0</v>
      </c>
      <c r="G8" s="114">
        <v>100.46</v>
      </c>
      <c r="H8" s="114">
        <v>0</v>
      </c>
      <c r="I8" s="114">
        <v>101.58</v>
      </c>
      <c r="J8" s="114">
        <v>0</v>
      </c>
      <c r="K8" s="116">
        <v>14.17</v>
      </c>
      <c r="M8">
        <v>12.935</v>
      </c>
    </row>
    <row r="9" spans="1:13" ht="15">
      <c r="A9" s="107" t="s">
        <v>91</v>
      </c>
      <c r="B9" s="114"/>
      <c r="C9" s="118">
        <f aca="true" t="shared" si="2" ref="C9:M9">C11+C13+C14+C19+C20</f>
        <v>8.019</v>
      </c>
      <c r="D9" s="118">
        <f t="shared" si="2"/>
        <v>110.73</v>
      </c>
      <c r="E9" s="118">
        <f t="shared" si="2"/>
        <v>0</v>
      </c>
      <c r="F9" s="118">
        <f t="shared" si="2"/>
        <v>77.12</v>
      </c>
      <c r="G9" s="118">
        <f t="shared" si="2"/>
        <v>270.862</v>
      </c>
      <c r="H9" s="118">
        <f t="shared" si="2"/>
        <v>77.12</v>
      </c>
      <c r="I9" s="118">
        <f t="shared" si="2"/>
        <v>330.608</v>
      </c>
      <c r="J9" s="118">
        <f t="shared" si="2"/>
        <v>77.12</v>
      </c>
      <c r="K9" s="119">
        <f t="shared" si="2"/>
        <v>460.949</v>
      </c>
      <c r="L9" s="119">
        <f t="shared" si="2"/>
        <v>0</v>
      </c>
      <c r="M9" s="119">
        <f t="shared" si="2"/>
        <v>79.36</v>
      </c>
    </row>
    <row r="10" spans="1:11" ht="15">
      <c r="A10" s="107" t="s">
        <v>88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6"/>
    </row>
    <row r="11" spans="1:11" ht="15">
      <c r="A11" s="107" t="s">
        <v>92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6"/>
    </row>
    <row r="12" spans="1:11" ht="30">
      <c r="A12" s="107" t="s">
        <v>93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6"/>
    </row>
    <row r="13" spans="1:11" ht="30">
      <c r="A13" s="107" t="s">
        <v>94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6"/>
    </row>
    <row r="14" spans="1:13" ht="15">
      <c r="A14" s="107" t="s">
        <v>95</v>
      </c>
      <c r="B14" s="114"/>
      <c r="C14" s="114">
        <f>C16+C17+C18</f>
        <v>8.019</v>
      </c>
      <c r="D14" s="114">
        <f aca="true" t="shared" si="3" ref="D14:J14">D16+D17+D18</f>
        <v>110.73</v>
      </c>
      <c r="E14" s="114">
        <f t="shared" si="3"/>
        <v>0</v>
      </c>
      <c r="F14" s="114">
        <f t="shared" si="3"/>
        <v>0</v>
      </c>
      <c r="G14" s="114">
        <f t="shared" si="3"/>
        <v>270.862</v>
      </c>
      <c r="H14" s="114">
        <f t="shared" si="3"/>
        <v>0</v>
      </c>
      <c r="I14" s="114">
        <f>I16+I17+I18</f>
        <v>330.608</v>
      </c>
      <c r="J14" s="114">
        <f t="shared" si="3"/>
        <v>0</v>
      </c>
      <c r="K14" s="116">
        <f>K16+K17+K18</f>
        <v>383.749</v>
      </c>
      <c r="L14" s="116">
        <f>L16+L17+L18</f>
        <v>0</v>
      </c>
      <c r="M14" s="116">
        <f>M16+M17+M18</f>
        <v>79.36</v>
      </c>
    </row>
    <row r="15" spans="1:11" ht="15">
      <c r="A15" s="107" t="s">
        <v>96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6"/>
    </row>
    <row r="16" spans="1:11" ht="30">
      <c r="A16" s="107" t="s">
        <v>97</v>
      </c>
      <c r="B16" s="114"/>
      <c r="C16" s="114"/>
      <c r="D16" s="114"/>
      <c r="E16" s="114"/>
      <c r="F16" s="114"/>
      <c r="G16" s="114"/>
      <c r="H16" s="114"/>
      <c r="I16" s="114">
        <v>176.996</v>
      </c>
      <c r="J16" s="114"/>
      <c r="K16" s="116">
        <v>305.867</v>
      </c>
    </row>
    <row r="17" spans="1:16" ht="15">
      <c r="A17" s="107" t="s">
        <v>98</v>
      </c>
      <c r="B17" s="114"/>
      <c r="C17" s="114">
        <v>8.019</v>
      </c>
      <c r="D17" s="114">
        <v>110.73</v>
      </c>
      <c r="E17" s="114"/>
      <c r="F17" s="114">
        <v>0</v>
      </c>
      <c r="G17" s="114">
        <v>270.862</v>
      </c>
      <c r="H17" s="114">
        <v>0</v>
      </c>
      <c r="I17" s="114">
        <v>153.612</v>
      </c>
      <c r="J17" s="114">
        <v>0</v>
      </c>
      <c r="K17" s="116">
        <v>77.882</v>
      </c>
      <c r="M17">
        <v>79.36</v>
      </c>
      <c r="P17" t="s">
        <v>171</v>
      </c>
    </row>
    <row r="18" spans="1:11" ht="30">
      <c r="A18" s="107" t="s">
        <v>99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6"/>
    </row>
    <row r="19" spans="1:11" ht="30">
      <c r="A19" s="107" t="s">
        <v>100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6"/>
    </row>
    <row r="20" spans="1:13" ht="15">
      <c r="A20" s="107" t="s">
        <v>101</v>
      </c>
      <c r="B20" s="120"/>
      <c r="C20" s="120">
        <v>0</v>
      </c>
      <c r="D20" s="120">
        <v>0</v>
      </c>
      <c r="E20" s="120"/>
      <c r="F20" s="120">
        <v>77.12</v>
      </c>
      <c r="G20" s="120"/>
      <c r="H20" s="120">
        <v>77.12</v>
      </c>
      <c r="I20" s="120"/>
      <c r="J20" s="120">
        <v>77.12</v>
      </c>
      <c r="K20" s="121">
        <v>77.2</v>
      </c>
      <c r="L20" s="121">
        <v>0</v>
      </c>
      <c r="M20" s="121">
        <v>0</v>
      </c>
    </row>
    <row r="23" ht="20.25">
      <c r="A23" s="123" t="s">
        <v>137</v>
      </c>
    </row>
    <row r="24" spans="1:13" ht="45">
      <c r="A24" s="105" t="s">
        <v>84</v>
      </c>
      <c r="B24" s="110"/>
      <c r="C24" s="111">
        <f aca="true" t="shared" si="4" ref="C24:M24">C27+C31</f>
        <v>436.35799999999995</v>
      </c>
      <c r="D24" s="112">
        <f t="shared" si="4"/>
        <v>175.086</v>
      </c>
      <c r="E24" s="112">
        <f t="shared" si="4"/>
        <v>375</v>
      </c>
      <c r="F24" s="112">
        <f t="shared" si="4"/>
        <v>221.924</v>
      </c>
      <c r="G24" s="112">
        <f t="shared" si="4"/>
        <v>393.187</v>
      </c>
      <c r="H24" s="112">
        <f t="shared" si="4"/>
        <v>228.865</v>
      </c>
      <c r="I24" s="112">
        <f t="shared" si="4"/>
        <v>368.65200000000004</v>
      </c>
      <c r="J24" s="112">
        <f t="shared" si="4"/>
        <v>242.138</v>
      </c>
      <c r="K24" s="113">
        <f t="shared" si="4"/>
        <v>339.884</v>
      </c>
      <c r="L24" s="113">
        <f t="shared" si="4"/>
        <v>242.23</v>
      </c>
      <c r="M24" s="113">
        <f t="shared" si="4"/>
        <v>303.74</v>
      </c>
    </row>
    <row r="25" spans="1:11" ht="30">
      <c r="A25" s="107" t="s">
        <v>85</v>
      </c>
      <c r="B25" s="114"/>
      <c r="C25" s="115"/>
      <c r="D25" s="114"/>
      <c r="E25" s="114"/>
      <c r="F25" s="114"/>
      <c r="G25" s="114"/>
      <c r="H25" s="114"/>
      <c r="I25" s="114"/>
      <c r="J25" s="114"/>
      <c r="K25" s="116"/>
    </row>
    <row r="26" spans="1:11" ht="30">
      <c r="A26" s="107" t="s">
        <v>86</v>
      </c>
      <c r="B26" s="114"/>
      <c r="C26" s="115"/>
      <c r="D26" s="114"/>
      <c r="E26" s="114"/>
      <c r="F26" s="114"/>
      <c r="G26" s="114"/>
      <c r="H26" s="114"/>
      <c r="I26" s="114"/>
      <c r="J26" s="114"/>
      <c r="K26" s="116"/>
    </row>
    <row r="27" spans="1:13" ht="30">
      <c r="A27" s="107" t="s">
        <v>87</v>
      </c>
      <c r="B27" s="114"/>
      <c r="C27" s="117">
        <f>C29+C30</f>
        <v>436.35799999999995</v>
      </c>
      <c r="D27" s="118">
        <f aca="true" t="shared" si="5" ref="D27:M27">D29+D30</f>
        <v>94.836</v>
      </c>
      <c r="E27" s="118">
        <f t="shared" si="5"/>
        <v>375</v>
      </c>
      <c r="F27" s="118">
        <f t="shared" si="5"/>
        <v>221.924</v>
      </c>
      <c r="G27" s="118">
        <f t="shared" si="5"/>
        <v>393.187</v>
      </c>
      <c r="H27" s="118">
        <f t="shared" si="5"/>
        <v>228.865</v>
      </c>
      <c r="I27" s="118">
        <f t="shared" si="5"/>
        <v>368.65200000000004</v>
      </c>
      <c r="J27" s="118">
        <f t="shared" si="5"/>
        <v>242.138</v>
      </c>
      <c r="K27" s="119">
        <f t="shared" si="5"/>
        <v>339.884</v>
      </c>
      <c r="L27" s="119">
        <f t="shared" si="5"/>
        <v>242.23</v>
      </c>
      <c r="M27" s="119">
        <f t="shared" si="5"/>
        <v>303.74</v>
      </c>
    </row>
    <row r="28" spans="1:11" ht="15">
      <c r="A28" s="107" t="s">
        <v>88</v>
      </c>
      <c r="B28" s="114"/>
      <c r="C28" s="115"/>
      <c r="D28" s="114"/>
      <c r="E28" s="114"/>
      <c r="F28" s="114"/>
      <c r="G28" s="114"/>
      <c r="H28" s="114"/>
      <c r="I28" s="114"/>
      <c r="J28" s="114"/>
      <c r="K28" s="116"/>
    </row>
    <row r="29" spans="1:13" ht="15">
      <c r="A29" s="107" t="s">
        <v>89</v>
      </c>
      <c r="B29" s="114"/>
      <c r="C29" s="115">
        <v>143.319</v>
      </c>
      <c r="D29" s="114">
        <v>20.071</v>
      </c>
      <c r="E29" s="114"/>
      <c r="F29" s="114"/>
      <c r="G29" s="114">
        <v>171.263</v>
      </c>
      <c r="H29" s="114"/>
      <c r="I29" s="114">
        <v>139.787</v>
      </c>
      <c r="J29" s="114"/>
      <c r="K29" s="116">
        <v>97.746</v>
      </c>
      <c r="L29" s="124">
        <v>0</v>
      </c>
      <c r="M29" s="124">
        <v>61.51</v>
      </c>
    </row>
    <row r="30" spans="1:13" ht="15">
      <c r="A30" s="107" t="s">
        <v>90</v>
      </c>
      <c r="B30" s="114"/>
      <c r="C30" s="115">
        <v>293.039</v>
      </c>
      <c r="D30" s="114">
        <v>74.765</v>
      </c>
      <c r="E30" s="114">
        <v>375</v>
      </c>
      <c r="F30" s="114">
        <v>221.924</v>
      </c>
      <c r="G30" s="114">
        <v>221.924</v>
      </c>
      <c r="H30" s="114">
        <v>228.865</v>
      </c>
      <c r="I30" s="114">
        <v>228.865</v>
      </c>
      <c r="J30" s="114">
        <v>242.138</v>
      </c>
      <c r="K30" s="116">
        <v>242.138</v>
      </c>
      <c r="L30">
        <v>242.23</v>
      </c>
      <c r="M30">
        <v>242.23</v>
      </c>
    </row>
    <row r="31" spans="1:11" ht="15">
      <c r="A31" s="107" t="s">
        <v>91</v>
      </c>
      <c r="B31" s="114"/>
      <c r="C31" s="117">
        <f aca="true" t="shared" si="6" ref="C31:K31">C33+C35+C36+C41+C42</f>
        <v>0</v>
      </c>
      <c r="D31" s="118">
        <f t="shared" si="6"/>
        <v>80.25</v>
      </c>
      <c r="E31" s="118">
        <f t="shared" si="6"/>
        <v>0</v>
      </c>
      <c r="F31" s="118">
        <f t="shared" si="6"/>
        <v>0</v>
      </c>
      <c r="G31" s="118">
        <f t="shared" si="6"/>
        <v>0</v>
      </c>
      <c r="H31" s="118">
        <f t="shared" si="6"/>
        <v>0</v>
      </c>
      <c r="I31" s="118">
        <f t="shared" si="6"/>
        <v>0</v>
      </c>
      <c r="J31" s="118">
        <f t="shared" si="6"/>
        <v>0</v>
      </c>
      <c r="K31" s="119">
        <f t="shared" si="6"/>
        <v>0</v>
      </c>
    </row>
    <row r="32" spans="1:11" ht="15">
      <c r="A32" s="107" t="s">
        <v>88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6"/>
    </row>
    <row r="33" spans="1:11" ht="15">
      <c r="A33" s="107" t="s">
        <v>92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6"/>
    </row>
    <row r="34" spans="1:11" ht="30">
      <c r="A34" s="107" t="s">
        <v>93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6"/>
    </row>
    <row r="35" spans="1:11" ht="30">
      <c r="A35" s="107" t="s">
        <v>94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6"/>
    </row>
    <row r="36" spans="1:11" ht="15">
      <c r="A36" s="107" t="s">
        <v>95</v>
      </c>
      <c r="B36" s="114"/>
      <c r="C36" s="114"/>
      <c r="D36" s="114"/>
      <c r="E36" s="114">
        <f>E38+E39+E40</f>
        <v>0</v>
      </c>
      <c r="F36" s="114"/>
      <c r="G36" s="114"/>
      <c r="H36" s="114"/>
      <c r="I36" s="114"/>
      <c r="J36" s="114"/>
      <c r="K36" s="116"/>
    </row>
    <row r="37" spans="1:11" ht="15">
      <c r="A37" s="107" t="s">
        <v>96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6"/>
    </row>
    <row r="38" spans="1:11" ht="30">
      <c r="A38" s="107" t="s">
        <v>97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6"/>
    </row>
    <row r="39" spans="1:11" ht="15">
      <c r="A39" s="107" t="s">
        <v>98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6"/>
    </row>
    <row r="40" spans="1:11" ht="30">
      <c r="A40" s="107" t="s">
        <v>99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6"/>
    </row>
    <row r="41" spans="1:11" ht="30">
      <c r="A41" s="107" t="s">
        <v>100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6"/>
    </row>
    <row r="42" spans="1:11" ht="15">
      <c r="A42" s="107" t="s">
        <v>101</v>
      </c>
      <c r="B42" s="120"/>
      <c r="C42" s="120"/>
      <c r="D42" s="120">
        <v>80.25</v>
      </c>
      <c r="E42" s="120"/>
      <c r="F42" s="120"/>
      <c r="G42" s="120"/>
      <c r="H42" s="120"/>
      <c r="I42" s="120"/>
      <c r="J42" s="120"/>
      <c r="K42" s="121"/>
    </row>
    <row r="46" ht="20.25">
      <c r="A46" s="123" t="s">
        <v>138</v>
      </c>
    </row>
    <row r="47" spans="1:13" ht="45">
      <c r="A47" s="105" t="s">
        <v>84</v>
      </c>
      <c r="B47" s="110"/>
      <c r="C47" s="111">
        <f aca="true" t="shared" si="7" ref="C47:M47">C50+C54</f>
        <v>14.892</v>
      </c>
      <c r="D47" s="112">
        <f t="shared" si="7"/>
        <v>524.542</v>
      </c>
      <c r="E47" s="112">
        <f t="shared" si="7"/>
        <v>10.8</v>
      </c>
      <c r="F47" s="112">
        <f t="shared" si="7"/>
        <v>10.8</v>
      </c>
      <c r="G47" s="112">
        <f t="shared" si="7"/>
        <v>10.8</v>
      </c>
      <c r="H47" s="112">
        <f t="shared" si="7"/>
        <v>10.8</v>
      </c>
      <c r="I47" s="112">
        <f t="shared" si="7"/>
        <v>10.8</v>
      </c>
      <c r="J47" s="112">
        <f t="shared" si="7"/>
        <v>10.8</v>
      </c>
      <c r="K47" s="113">
        <f t="shared" si="7"/>
        <v>10.8</v>
      </c>
      <c r="L47" s="113">
        <f t="shared" si="7"/>
        <v>60.185</v>
      </c>
      <c r="M47" s="113">
        <f t="shared" si="7"/>
        <v>60.185</v>
      </c>
    </row>
    <row r="48" spans="1:11" ht="30">
      <c r="A48" s="107" t="s">
        <v>85</v>
      </c>
      <c r="B48" s="114"/>
      <c r="C48" s="115"/>
      <c r="D48" s="114"/>
      <c r="E48" s="114"/>
      <c r="F48" s="114"/>
      <c r="G48" s="114"/>
      <c r="H48" s="114"/>
      <c r="I48" s="114"/>
      <c r="J48" s="114"/>
      <c r="K48" s="116"/>
    </row>
    <row r="49" spans="1:11" ht="30">
      <c r="A49" s="107" t="s">
        <v>86</v>
      </c>
      <c r="B49" s="114"/>
      <c r="C49" s="115"/>
      <c r="D49" s="114"/>
      <c r="E49" s="114"/>
      <c r="F49" s="114"/>
      <c r="G49" s="114"/>
      <c r="H49" s="114"/>
      <c r="I49" s="114"/>
      <c r="J49" s="114"/>
      <c r="K49" s="116"/>
    </row>
    <row r="50" spans="1:13" ht="30">
      <c r="A50" s="107" t="s">
        <v>87</v>
      </c>
      <c r="B50" s="114"/>
      <c r="C50" s="117">
        <f>C52+C53</f>
        <v>14.892</v>
      </c>
      <c r="D50" s="118">
        <f aca="true" t="shared" si="8" ref="D50:M50">D52+D53</f>
        <v>12.485</v>
      </c>
      <c r="E50" s="118">
        <f t="shared" si="8"/>
        <v>10.8</v>
      </c>
      <c r="F50" s="118">
        <f t="shared" si="8"/>
        <v>10.8</v>
      </c>
      <c r="G50" s="118">
        <f t="shared" si="8"/>
        <v>10.8</v>
      </c>
      <c r="H50" s="118">
        <f t="shared" si="8"/>
        <v>10.8</v>
      </c>
      <c r="I50" s="118">
        <f t="shared" si="8"/>
        <v>10.8</v>
      </c>
      <c r="J50" s="118">
        <f t="shared" si="8"/>
        <v>10.8</v>
      </c>
      <c r="K50" s="118">
        <f t="shared" si="8"/>
        <v>10.8</v>
      </c>
      <c r="L50" s="118">
        <f t="shared" si="8"/>
        <v>60.185</v>
      </c>
      <c r="M50" s="118">
        <f t="shared" si="8"/>
        <v>60.185</v>
      </c>
    </row>
    <row r="51" spans="1:11" ht="15">
      <c r="A51" s="107" t="s">
        <v>88</v>
      </c>
      <c r="B51" s="114"/>
      <c r="C51" s="115"/>
      <c r="D51" s="114"/>
      <c r="E51" s="114"/>
      <c r="F51" s="114"/>
      <c r="G51" s="114"/>
      <c r="H51" s="114"/>
      <c r="I51" s="114"/>
      <c r="J51" s="114"/>
      <c r="K51" s="116"/>
    </row>
    <row r="52" spans="1:11" ht="15">
      <c r="A52" s="107" t="s">
        <v>89</v>
      </c>
      <c r="B52" s="114"/>
      <c r="C52" s="115">
        <v>2.283</v>
      </c>
      <c r="D52" s="114">
        <v>0.876</v>
      </c>
      <c r="E52" s="114"/>
      <c r="F52" s="114"/>
      <c r="G52" s="114"/>
      <c r="H52" s="114"/>
      <c r="I52" s="114"/>
      <c r="J52" s="114"/>
      <c r="K52" s="116"/>
    </row>
    <row r="53" spans="1:13" ht="15">
      <c r="A53" s="107" t="s">
        <v>90</v>
      </c>
      <c r="B53" s="114"/>
      <c r="C53" s="115">
        <v>12.609</v>
      </c>
      <c r="D53" s="114">
        <v>11.609</v>
      </c>
      <c r="E53" s="114">
        <v>10.8</v>
      </c>
      <c r="F53" s="114">
        <v>10.8</v>
      </c>
      <c r="G53" s="114">
        <v>10.8</v>
      </c>
      <c r="H53" s="114">
        <v>10.8</v>
      </c>
      <c r="I53" s="114">
        <v>10.8</v>
      </c>
      <c r="J53" s="114">
        <v>10.8</v>
      </c>
      <c r="K53" s="114">
        <v>10.8</v>
      </c>
      <c r="L53" s="124">
        <v>60.185</v>
      </c>
      <c r="M53" s="124">
        <v>60.185</v>
      </c>
    </row>
    <row r="54" spans="1:13" ht="15">
      <c r="A54" s="107" t="s">
        <v>91</v>
      </c>
      <c r="B54" s="114"/>
      <c r="C54" s="117">
        <f aca="true" t="shared" si="9" ref="C54:M54">C56+C58+C59+C64+C65</f>
        <v>0</v>
      </c>
      <c r="D54" s="118">
        <f t="shared" si="9"/>
        <v>512.057</v>
      </c>
      <c r="E54" s="118"/>
      <c r="F54" s="118">
        <f t="shared" si="9"/>
        <v>0</v>
      </c>
      <c r="G54" s="118">
        <f t="shared" si="9"/>
        <v>0</v>
      </c>
      <c r="H54" s="118">
        <f t="shared" si="9"/>
        <v>0</v>
      </c>
      <c r="I54" s="118">
        <f t="shared" si="9"/>
        <v>0</v>
      </c>
      <c r="J54" s="118">
        <f t="shared" si="9"/>
        <v>0</v>
      </c>
      <c r="K54" s="119">
        <f t="shared" si="9"/>
        <v>0</v>
      </c>
      <c r="L54" s="119">
        <f t="shared" si="9"/>
        <v>0</v>
      </c>
      <c r="M54" s="119">
        <f t="shared" si="9"/>
        <v>0</v>
      </c>
    </row>
    <row r="55" spans="1:11" ht="15">
      <c r="A55" s="107" t="s">
        <v>88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6"/>
    </row>
    <row r="56" spans="1:13" ht="15">
      <c r="A56" s="107" t="s">
        <v>92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24"/>
      <c r="M56" s="124"/>
    </row>
    <row r="57" spans="1:11" ht="30">
      <c r="A57" s="107" t="s">
        <v>93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6"/>
    </row>
    <row r="58" spans="1:11" ht="30">
      <c r="A58" s="107" t="s">
        <v>94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6"/>
    </row>
    <row r="59" spans="1:13" ht="15">
      <c r="A59" s="107" t="s">
        <v>95</v>
      </c>
      <c r="B59" s="114"/>
      <c r="C59" s="114">
        <f>C61+C62</f>
        <v>0</v>
      </c>
      <c r="D59" s="114">
        <f>D61+D62</f>
        <v>512.057</v>
      </c>
      <c r="E59" s="114">
        <f aca="true" t="shared" si="10" ref="E59:M59">E61+E62</f>
        <v>0</v>
      </c>
      <c r="F59" s="114">
        <f t="shared" si="10"/>
        <v>0</v>
      </c>
      <c r="G59" s="114">
        <f t="shared" si="10"/>
        <v>0</v>
      </c>
      <c r="H59" s="114">
        <f t="shared" si="10"/>
        <v>0</v>
      </c>
      <c r="I59" s="114">
        <f t="shared" si="10"/>
        <v>0</v>
      </c>
      <c r="J59" s="114">
        <f t="shared" si="10"/>
        <v>0</v>
      </c>
      <c r="K59" s="114">
        <f t="shared" si="10"/>
        <v>0</v>
      </c>
      <c r="L59" s="114">
        <f t="shared" si="10"/>
        <v>0</v>
      </c>
      <c r="M59" s="114">
        <f t="shared" si="10"/>
        <v>0</v>
      </c>
    </row>
    <row r="60" spans="1:11" ht="15">
      <c r="A60" s="107" t="s">
        <v>96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6"/>
    </row>
    <row r="61" spans="1:11" ht="30">
      <c r="A61" s="107" t="s">
        <v>97</v>
      </c>
      <c r="B61" s="114"/>
      <c r="C61" s="114"/>
      <c r="D61" s="114">
        <v>154.035</v>
      </c>
      <c r="E61" s="114"/>
      <c r="F61" s="114"/>
      <c r="G61" s="114"/>
      <c r="H61" s="114"/>
      <c r="I61" s="114"/>
      <c r="J61" s="114"/>
      <c r="K61" s="116"/>
    </row>
    <row r="62" spans="1:11" ht="15">
      <c r="A62" s="107" t="s">
        <v>98</v>
      </c>
      <c r="B62" s="114"/>
      <c r="C62" s="114"/>
      <c r="D62" s="114">
        <v>358.022</v>
      </c>
      <c r="E62" s="114">
        <v>0</v>
      </c>
      <c r="F62" s="114"/>
      <c r="G62" s="114"/>
      <c r="H62" s="114"/>
      <c r="I62" s="114"/>
      <c r="J62" s="114"/>
      <c r="K62" s="116"/>
    </row>
    <row r="63" spans="1:11" ht="30">
      <c r="A63" s="107" t="s">
        <v>99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6"/>
    </row>
    <row r="64" spans="1:11" ht="30">
      <c r="A64" s="107" t="s">
        <v>100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6"/>
    </row>
    <row r="65" spans="1:11" ht="15">
      <c r="A65" s="107" t="s">
        <v>101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1"/>
    </row>
    <row r="68" ht="20.25">
      <c r="A68" s="123" t="s">
        <v>139</v>
      </c>
    </row>
    <row r="69" spans="1:13" ht="45">
      <c r="A69" s="105" t="s">
        <v>84</v>
      </c>
      <c r="B69" s="110"/>
      <c r="C69" s="111">
        <f aca="true" t="shared" si="11" ref="C69:M69">C72+C76</f>
        <v>14.884</v>
      </c>
      <c r="D69" s="112">
        <f t="shared" si="11"/>
        <v>20.266</v>
      </c>
      <c r="E69" s="112">
        <f t="shared" si="11"/>
        <v>1.3</v>
      </c>
      <c r="F69" s="112">
        <f t="shared" si="11"/>
        <v>8.684000000000001</v>
      </c>
      <c r="G69" s="112">
        <f t="shared" si="11"/>
        <v>15.8</v>
      </c>
      <c r="H69" s="112">
        <f t="shared" si="11"/>
        <v>8.6</v>
      </c>
      <c r="I69" s="112">
        <f t="shared" si="11"/>
        <v>17.9</v>
      </c>
      <c r="J69" s="112">
        <f t="shared" si="11"/>
        <v>8.5</v>
      </c>
      <c r="K69" s="113">
        <f t="shared" si="11"/>
        <v>18.5</v>
      </c>
      <c r="L69" s="113">
        <f t="shared" si="11"/>
        <v>8.4</v>
      </c>
      <c r="M69" s="113">
        <f t="shared" si="11"/>
        <v>19.2</v>
      </c>
    </row>
    <row r="70" spans="1:11" ht="30">
      <c r="A70" s="107" t="s">
        <v>85</v>
      </c>
      <c r="B70" s="114"/>
      <c r="C70" s="115"/>
      <c r="D70" s="114"/>
      <c r="E70" s="114"/>
      <c r="F70" s="114"/>
      <c r="G70" s="114"/>
      <c r="H70" s="114"/>
      <c r="I70" s="114"/>
      <c r="J70" s="114"/>
      <c r="K70" s="116"/>
    </row>
    <row r="71" spans="1:11" ht="30">
      <c r="A71" s="107" t="s">
        <v>86</v>
      </c>
      <c r="B71" s="114"/>
      <c r="C71" s="115"/>
      <c r="D71" s="114"/>
      <c r="E71" s="114"/>
      <c r="F71" s="114"/>
      <c r="G71" s="114"/>
      <c r="H71" s="114"/>
      <c r="I71" s="114"/>
      <c r="J71" s="114"/>
      <c r="K71" s="116"/>
    </row>
    <row r="72" spans="1:13" ht="30">
      <c r="A72" s="107" t="s">
        <v>87</v>
      </c>
      <c r="B72" s="114"/>
      <c r="C72" s="117">
        <f>C74+C75</f>
        <v>14.884</v>
      </c>
      <c r="D72" s="118">
        <f aca="true" t="shared" si="12" ref="D72:M72">D74+D75</f>
        <v>20.266</v>
      </c>
      <c r="E72" s="118">
        <f t="shared" si="12"/>
        <v>1.3</v>
      </c>
      <c r="F72" s="118">
        <f t="shared" si="12"/>
        <v>8.684000000000001</v>
      </c>
      <c r="G72" s="118">
        <f t="shared" si="12"/>
        <v>15.8</v>
      </c>
      <c r="H72" s="118">
        <f t="shared" si="12"/>
        <v>8.6</v>
      </c>
      <c r="I72" s="118">
        <f t="shared" si="12"/>
        <v>17.9</v>
      </c>
      <c r="J72" s="118">
        <f t="shared" si="12"/>
        <v>8.5</v>
      </c>
      <c r="K72" s="118">
        <f t="shared" si="12"/>
        <v>18.5</v>
      </c>
      <c r="L72" s="118">
        <f t="shared" si="12"/>
        <v>8.4</v>
      </c>
      <c r="M72" s="118">
        <f t="shared" si="12"/>
        <v>19.2</v>
      </c>
    </row>
    <row r="73" spans="1:11" ht="15">
      <c r="A73" s="107" t="s">
        <v>88</v>
      </c>
      <c r="B73" s="114"/>
      <c r="C73" s="115"/>
      <c r="D73" s="114"/>
      <c r="E73" s="114"/>
      <c r="F73" s="114"/>
      <c r="G73" s="114"/>
      <c r="H73" s="114"/>
      <c r="I73" s="114"/>
      <c r="J73" s="114"/>
      <c r="K73" s="116"/>
    </row>
    <row r="74" spans="1:13" ht="15">
      <c r="A74" s="107" t="s">
        <v>89</v>
      </c>
      <c r="B74" s="114"/>
      <c r="C74" s="115">
        <v>9.577</v>
      </c>
      <c r="D74" s="114">
        <v>13.52</v>
      </c>
      <c r="E74" s="114"/>
      <c r="F74" s="124">
        <v>3</v>
      </c>
      <c r="G74" s="124">
        <v>10</v>
      </c>
      <c r="H74" s="124">
        <v>3</v>
      </c>
      <c r="I74" s="124">
        <v>12</v>
      </c>
      <c r="J74" s="124">
        <v>3</v>
      </c>
      <c r="K74" s="116">
        <v>12.5</v>
      </c>
      <c r="L74" s="124">
        <v>3</v>
      </c>
      <c r="M74" s="124">
        <v>13</v>
      </c>
    </row>
    <row r="75" spans="1:13" ht="15">
      <c r="A75" s="107" t="s">
        <v>90</v>
      </c>
      <c r="B75" s="114"/>
      <c r="C75" s="115">
        <v>5.307</v>
      </c>
      <c r="D75" s="114">
        <v>6.746</v>
      </c>
      <c r="E75" s="114">
        <v>1.3</v>
      </c>
      <c r="F75" s="124">
        <v>5.684</v>
      </c>
      <c r="G75" s="124">
        <v>5.8</v>
      </c>
      <c r="H75" s="124">
        <v>5.6</v>
      </c>
      <c r="I75" s="124">
        <v>5.9</v>
      </c>
      <c r="J75" s="124">
        <v>5.5</v>
      </c>
      <c r="K75" s="124">
        <v>6</v>
      </c>
      <c r="L75" s="124">
        <v>5.4</v>
      </c>
      <c r="M75" s="124">
        <v>6.2</v>
      </c>
    </row>
    <row r="76" spans="1:13" ht="15">
      <c r="A76" s="107" t="s">
        <v>91</v>
      </c>
      <c r="B76" s="114"/>
      <c r="C76" s="117">
        <f aca="true" t="shared" si="13" ref="C76:M76">C78+C80+C81+C86+C87</f>
        <v>0</v>
      </c>
      <c r="D76" s="118">
        <f t="shared" si="13"/>
        <v>0</v>
      </c>
      <c r="E76" s="118">
        <f t="shared" si="13"/>
        <v>0</v>
      </c>
      <c r="F76" s="118">
        <f t="shared" si="13"/>
        <v>0</v>
      </c>
      <c r="G76" s="118">
        <f t="shared" si="13"/>
        <v>0</v>
      </c>
      <c r="H76" s="118">
        <f t="shared" si="13"/>
        <v>0</v>
      </c>
      <c r="I76" s="118">
        <f t="shared" si="13"/>
        <v>0</v>
      </c>
      <c r="J76" s="118">
        <f t="shared" si="13"/>
        <v>0</v>
      </c>
      <c r="K76" s="119">
        <f t="shared" si="13"/>
        <v>0</v>
      </c>
      <c r="L76" s="119">
        <f t="shared" si="13"/>
        <v>0</v>
      </c>
      <c r="M76" s="119">
        <f t="shared" si="13"/>
        <v>0</v>
      </c>
    </row>
    <row r="77" spans="1:11" ht="15">
      <c r="A77" s="107" t="s">
        <v>88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6"/>
    </row>
    <row r="78" spans="1:11" ht="15">
      <c r="A78" s="107" t="s">
        <v>92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</row>
    <row r="79" spans="1:11" ht="30">
      <c r="A79" s="107" t="s">
        <v>93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6"/>
    </row>
    <row r="80" spans="1:11" ht="30">
      <c r="A80" s="107" t="s">
        <v>94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6"/>
    </row>
    <row r="81" spans="1:13" ht="15">
      <c r="A81" s="107" t="s">
        <v>95</v>
      </c>
      <c r="B81" s="114"/>
      <c r="C81" s="114"/>
      <c r="D81" s="114">
        <f>D83+D84</f>
        <v>0</v>
      </c>
      <c r="E81" s="114">
        <f aca="true" t="shared" si="14" ref="E81:M81">E83+E84</f>
        <v>0</v>
      </c>
      <c r="F81" s="114">
        <f t="shared" si="14"/>
        <v>0</v>
      </c>
      <c r="G81" s="114">
        <f t="shared" si="14"/>
        <v>0</v>
      </c>
      <c r="H81" s="114">
        <f t="shared" si="14"/>
        <v>0</v>
      </c>
      <c r="I81" s="114">
        <f t="shared" si="14"/>
        <v>0</v>
      </c>
      <c r="J81" s="114">
        <f t="shared" si="14"/>
        <v>0</v>
      </c>
      <c r="K81" s="114">
        <f t="shared" si="14"/>
        <v>0</v>
      </c>
      <c r="L81" s="114">
        <f t="shared" si="14"/>
        <v>0</v>
      </c>
      <c r="M81" s="114">
        <f t="shared" si="14"/>
        <v>0</v>
      </c>
    </row>
    <row r="82" spans="1:11" ht="15">
      <c r="A82" s="107" t="s">
        <v>96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6"/>
    </row>
    <row r="83" spans="1:11" ht="30">
      <c r="A83" s="107" t="s">
        <v>97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6"/>
    </row>
    <row r="84" spans="1:11" ht="15">
      <c r="A84" s="107" t="s">
        <v>98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6"/>
    </row>
    <row r="85" spans="1:11" ht="30">
      <c r="A85" s="107" t="s">
        <v>99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6"/>
    </row>
    <row r="86" spans="1:11" ht="30">
      <c r="A86" s="107" t="s">
        <v>100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6"/>
    </row>
    <row r="87" spans="1:11" ht="15">
      <c r="A87" s="107" t="s">
        <v>101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1"/>
    </row>
    <row r="89" spans="1:11" ht="20.25">
      <c r="A89" s="123" t="s">
        <v>145</v>
      </c>
      <c r="C89">
        <v>2018</v>
      </c>
      <c r="D89">
        <v>2019</v>
      </c>
      <c r="E89">
        <v>2020</v>
      </c>
      <c r="F89" s="297">
        <v>2021</v>
      </c>
      <c r="G89" s="297"/>
      <c r="H89" s="297">
        <v>2022</v>
      </c>
      <c r="I89" s="297"/>
      <c r="J89" s="297">
        <v>2023</v>
      </c>
      <c r="K89" s="297"/>
    </row>
    <row r="90" spans="1:13" ht="45">
      <c r="A90" s="105" t="s">
        <v>84</v>
      </c>
      <c r="B90" s="110"/>
      <c r="C90" s="111">
        <f>C93+C97</f>
        <v>476.23699999999997</v>
      </c>
      <c r="D90" s="112">
        <f aca="true" t="shared" si="15" ref="D90:M90">D93+D97</f>
        <v>878.234</v>
      </c>
      <c r="E90" s="112">
        <f t="shared" si="15"/>
        <v>404.6</v>
      </c>
      <c r="F90" s="112">
        <f t="shared" si="15"/>
        <v>318.528</v>
      </c>
      <c r="G90" s="112">
        <f t="shared" si="15"/>
        <v>791.1090000000002</v>
      </c>
      <c r="H90" s="112">
        <f t="shared" si="15"/>
        <v>325.385</v>
      </c>
      <c r="I90" s="112">
        <f t="shared" si="15"/>
        <v>829.54</v>
      </c>
      <c r="J90" s="112">
        <f t="shared" si="15"/>
        <v>338.558</v>
      </c>
      <c r="K90" s="113">
        <f t="shared" si="15"/>
        <v>844.303</v>
      </c>
      <c r="L90" s="113">
        <f t="shared" si="15"/>
        <v>310.81499999999994</v>
      </c>
      <c r="M90" s="113">
        <f t="shared" si="15"/>
        <v>475.42</v>
      </c>
    </row>
    <row r="91" spans="1:11" ht="30">
      <c r="A91" s="107" t="s">
        <v>85</v>
      </c>
      <c r="B91" s="114"/>
      <c r="C91" s="115"/>
      <c r="D91" s="114"/>
      <c r="E91" s="114"/>
      <c r="F91" s="114"/>
      <c r="G91" s="114"/>
      <c r="H91" s="114"/>
      <c r="I91" s="114"/>
      <c r="J91" s="114"/>
      <c r="K91" s="116"/>
    </row>
    <row r="92" spans="1:11" ht="30">
      <c r="A92" s="107" t="s">
        <v>86</v>
      </c>
      <c r="B92" s="114"/>
      <c r="C92" s="115"/>
      <c r="D92" s="114"/>
      <c r="E92" s="114"/>
      <c r="F92" s="114"/>
      <c r="G92" s="114"/>
      <c r="H92" s="114"/>
      <c r="I92" s="114"/>
      <c r="J92" s="114"/>
      <c r="K92" s="116"/>
    </row>
    <row r="93" spans="1:13" ht="30">
      <c r="A93" s="107" t="s">
        <v>87</v>
      </c>
      <c r="B93" s="114"/>
      <c r="C93" s="117">
        <f>C95+C96</f>
        <v>468.21799999999996</v>
      </c>
      <c r="D93" s="118">
        <f aca="true" t="shared" si="16" ref="D93:M93">D95+D96</f>
        <v>175.197</v>
      </c>
      <c r="E93" s="118">
        <f t="shared" si="16"/>
        <v>404.6</v>
      </c>
      <c r="F93" s="118">
        <f t="shared" si="16"/>
        <v>241.40800000000002</v>
      </c>
      <c r="G93" s="118">
        <f t="shared" si="16"/>
        <v>520.2470000000001</v>
      </c>
      <c r="H93" s="118">
        <f t="shared" si="16"/>
        <v>248.26500000000001</v>
      </c>
      <c r="I93" s="118">
        <f t="shared" si="16"/>
        <v>498.932</v>
      </c>
      <c r="J93" s="118">
        <f t="shared" si="16"/>
        <v>261.438</v>
      </c>
      <c r="K93" s="118">
        <f t="shared" si="16"/>
        <v>383.354</v>
      </c>
      <c r="L93" s="118">
        <f t="shared" si="16"/>
        <v>310.81499999999994</v>
      </c>
      <c r="M93" s="118">
        <f t="shared" si="16"/>
        <v>396.06</v>
      </c>
    </row>
    <row r="94" spans="1:11" ht="15">
      <c r="A94" s="107" t="s">
        <v>88</v>
      </c>
      <c r="B94" s="114"/>
      <c r="C94" s="115"/>
      <c r="D94" s="114"/>
      <c r="E94" s="114"/>
      <c r="F94" s="114"/>
      <c r="G94" s="114"/>
      <c r="H94" s="114"/>
      <c r="I94" s="114"/>
      <c r="J94" s="114"/>
      <c r="K94" s="116"/>
    </row>
    <row r="95" spans="1:13" ht="15">
      <c r="A95" s="107" t="s">
        <v>89</v>
      </c>
      <c r="B95" s="114"/>
      <c r="C95" s="115">
        <f aca="true" t="shared" si="17" ref="C95:M95">C7+C29+C52+C74</f>
        <v>155.17899999999997</v>
      </c>
      <c r="D95" s="115">
        <f t="shared" si="17"/>
        <v>34.467</v>
      </c>
      <c r="E95" s="115">
        <f t="shared" si="17"/>
        <v>0</v>
      </c>
      <c r="F95" s="115">
        <f t="shared" si="17"/>
        <v>3</v>
      </c>
      <c r="G95" s="115">
        <f t="shared" si="17"/>
        <v>181.263</v>
      </c>
      <c r="H95" s="115">
        <f t="shared" si="17"/>
        <v>3</v>
      </c>
      <c r="I95" s="115">
        <f t="shared" si="17"/>
        <v>151.787</v>
      </c>
      <c r="J95" s="115">
        <f t="shared" si="17"/>
        <v>3</v>
      </c>
      <c r="K95" s="115">
        <f t="shared" si="17"/>
        <v>110.246</v>
      </c>
      <c r="L95" s="115">
        <f t="shared" si="17"/>
        <v>3</v>
      </c>
      <c r="M95" s="115">
        <f t="shared" si="17"/>
        <v>74.50999999999999</v>
      </c>
    </row>
    <row r="96" spans="1:13" ht="15">
      <c r="A96" s="107" t="s">
        <v>90</v>
      </c>
      <c r="B96" s="114"/>
      <c r="C96" s="115">
        <f aca="true" t="shared" si="18" ref="C96:M96">C8+C30+C53+C75</f>
        <v>313.039</v>
      </c>
      <c r="D96" s="115">
        <f t="shared" si="18"/>
        <v>140.73000000000002</v>
      </c>
      <c r="E96" s="115">
        <f t="shared" si="18"/>
        <v>404.6</v>
      </c>
      <c r="F96" s="115">
        <f t="shared" si="18"/>
        <v>238.40800000000002</v>
      </c>
      <c r="G96" s="115">
        <f t="shared" si="18"/>
        <v>338.98400000000004</v>
      </c>
      <c r="H96" s="115">
        <f t="shared" si="18"/>
        <v>245.26500000000001</v>
      </c>
      <c r="I96" s="115">
        <f t="shared" si="18"/>
        <v>347.145</v>
      </c>
      <c r="J96" s="115">
        <f t="shared" si="18"/>
        <v>258.438</v>
      </c>
      <c r="K96" s="115">
        <f t="shared" si="18"/>
        <v>273.108</v>
      </c>
      <c r="L96" s="115">
        <f t="shared" si="18"/>
        <v>307.81499999999994</v>
      </c>
      <c r="M96" s="115">
        <f t="shared" si="18"/>
        <v>321.55</v>
      </c>
    </row>
    <row r="97" spans="1:13" ht="15">
      <c r="A97" s="107" t="s">
        <v>91</v>
      </c>
      <c r="B97" s="114"/>
      <c r="C97" s="117">
        <f aca="true" t="shared" si="19" ref="C97:M97">C99+C101+C102+C107+C108</f>
        <v>8.019</v>
      </c>
      <c r="D97" s="118">
        <f t="shared" si="19"/>
        <v>703.037</v>
      </c>
      <c r="E97" s="118">
        <f t="shared" si="19"/>
        <v>0</v>
      </c>
      <c r="F97" s="118">
        <f t="shared" si="19"/>
        <v>77.12</v>
      </c>
      <c r="G97" s="118">
        <f t="shared" si="19"/>
        <v>270.862</v>
      </c>
      <c r="H97" s="118">
        <f t="shared" si="19"/>
        <v>77.12</v>
      </c>
      <c r="I97" s="118">
        <f t="shared" si="19"/>
        <v>330.608</v>
      </c>
      <c r="J97" s="118">
        <f t="shared" si="19"/>
        <v>77.12</v>
      </c>
      <c r="K97" s="119">
        <f t="shared" si="19"/>
        <v>460.949</v>
      </c>
      <c r="L97" s="119">
        <f t="shared" si="19"/>
        <v>0</v>
      </c>
      <c r="M97" s="119">
        <f t="shared" si="19"/>
        <v>79.36</v>
      </c>
    </row>
    <row r="98" spans="1:11" ht="15">
      <c r="A98" s="107" t="s">
        <v>88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6"/>
    </row>
    <row r="99" spans="1:13" ht="15">
      <c r="A99" s="107" t="s">
        <v>92</v>
      </c>
      <c r="B99" s="114"/>
      <c r="C99" s="114">
        <f aca="true" t="shared" si="20" ref="C99:M99">C11+C33+C78+C56</f>
        <v>0</v>
      </c>
      <c r="D99" s="114">
        <f t="shared" si="20"/>
        <v>0</v>
      </c>
      <c r="E99" s="114">
        <f t="shared" si="20"/>
        <v>0</v>
      </c>
      <c r="F99" s="114">
        <f t="shared" si="20"/>
        <v>0</v>
      </c>
      <c r="G99" s="114">
        <f t="shared" si="20"/>
        <v>0</v>
      </c>
      <c r="H99" s="114">
        <f t="shared" si="20"/>
        <v>0</v>
      </c>
      <c r="I99" s="114">
        <f t="shared" si="20"/>
        <v>0</v>
      </c>
      <c r="J99" s="114">
        <f t="shared" si="20"/>
        <v>0</v>
      </c>
      <c r="K99" s="114">
        <f t="shared" si="20"/>
        <v>0</v>
      </c>
      <c r="L99" s="114">
        <f t="shared" si="20"/>
        <v>0</v>
      </c>
      <c r="M99" s="114">
        <f t="shared" si="20"/>
        <v>0</v>
      </c>
    </row>
    <row r="100" spans="1:11" ht="30">
      <c r="A100" s="107" t="s">
        <v>93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6"/>
    </row>
    <row r="101" spans="1:11" ht="30">
      <c r="A101" s="107" t="s">
        <v>94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6"/>
    </row>
    <row r="102" spans="1:13" ht="15">
      <c r="A102" s="107" t="s">
        <v>95</v>
      </c>
      <c r="B102" s="114"/>
      <c r="C102" s="114">
        <f>C104+C105</f>
        <v>8.019</v>
      </c>
      <c r="D102" s="114">
        <f>D104+D105</f>
        <v>622.787</v>
      </c>
      <c r="E102" s="114">
        <f aca="true" t="shared" si="21" ref="E102:M102">E104+E105</f>
        <v>0</v>
      </c>
      <c r="F102" s="114">
        <f t="shared" si="21"/>
        <v>0</v>
      </c>
      <c r="G102" s="114">
        <f t="shared" si="21"/>
        <v>270.862</v>
      </c>
      <c r="H102" s="114">
        <f t="shared" si="21"/>
        <v>0</v>
      </c>
      <c r="I102" s="114">
        <f t="shared" si="21"/>
        <v>330.608</v>
      </c>
      <c r="J102" s="114">
        <f t="shared" si="21"/>
        <v>0</v>
      </c>
      <c r="K102" s="114">
        <f t="shared" si="21"/>
        <v>383.749</v>
      </c>
      <c r="L102" s="114">
        <f t="shared" si="21"/>
        <v>0</v>
      </c>
      <c r="M102" s="114">
        <f t="shared" si="21"/>
        <v>79.36</v>
      </c>
    </row>
    <row r="103" spans="1:11" ht="15">
      <c r="A103" s="107" t="s">
        <v>96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6"/>
    </row>
    <row r="104" spans="1:13" ht="30">
      <c r="A104" s="107" t="s">
        <v>97</v>
      </c>
      <c r="B104" s="114"/>
      <c r="C104" s="114">
        <f aca="true" t="shared" si="22" ref="C104:M104">C16+C38+C61+C83</f>
        <v>0</v>
      </c>
      <c r="D104" s="114">
        <f t="shared" si="22"/>
        <v>154.035</v>
      </c>
      <c r="E104" s="114">
        <f t="shared" si="22"/>
        <v>0</v>
      </c>
      <c r="F104" s="114">
        <f t="shared" si="22"/>
        <v>0</v>
      </c>
      <c r="G104" s="114">
        <f t="shared" si="22"/>
        <v>0</v>
      </c>
      <c r="H104" s="114">
        <f t="shared" si="22"/>
        <v>0</v>
      </c>
      <c r="I104" s="114">
        <f t="shared" si="22"/>
        <v>176.996</v>
      </c>
      <c r="J104" s="114">
        <f t="shared" si="22"/>
        <v>0</v>
      </c>
      <c r="K104" s="114">
        <f t="shared" si="22"/>
        <v>305.867</v>
      </c>
      <c r="L104" s="114">
        <f t="shared" si="22"/>
        <v>0</v>
      </c>
      <c r="M104" s="114">
        <f t="shared" si="22"/>
        <v>0</v>
      </c>
    </row>
    <row r="105" spans="1:13" ht="15">
      <c r="A105" s="107" t="s">
        <v>98</v>
      </c>
      <c r="B105" s="114"/>
      <c r="C105" s="114">
        <f aca="true" t="shared" si="23" ref="C105:M105">C17+C39+C62+C84</f>
        <v>8.019</v>
      </c>
      <c r="D105" s="114">
        <f t="shared" si="23"/>
        <v>468.752</v>
      </c>
      <c r="E105" s="114">
        <f t="shared" si="23"/>
        <v>0</v>
      </c>
      <c r="F105" s="114">
        <f t="shared" si="23"/>
        <v>0</v>
      </c>
      <c r="G105" s="114">
        <f t="shared" si="23"/>
        <v>270.862</v>
      </c>
      <c r="H105" s="114">
        <f t="shared" si="23"/>
        <v>0</v>
      </c>
      <c r="I105" s="114">
        <f t="shared" si="23"/>
        <v>153.612</v>
      </c>
      <c r="J105" s="114">
        <f t="shared" si="23"/>
        <v>0</v>
      </c>
      <c r="K105" s="114">
        <f t="shared" si="23"/>
        <v>77.882</v>
      </c>
      <c r="L105" s="114">
        <f t="shared" si="23"/>
        <v>0</v>
      </c>
      <c r="M105" s="114">
        <f t="shared" si="23"/>
        <v>79.36</v>
      </c>
    </row>
    <row r="106" spans="1:11" ht="30">
      <c r="A106" s="107" t="s">
        <v>99</v>
      </c>
      <c r="B106" s="114"/>
      <c r="C106" s="114">
        <f aca="true" t="shared" si="24" ref="C106:K106">C18+C40+C63+C85</f>
        <v>0</v>
      </c>
      <c r="D106" s="114">
        <f t="shared" si="24"/>
        <v>0</v>
      </c>
      <c r="E106" s="114">
        <f t="shared" si="24"/>
        <v>0</v>
      </c>
      <c r="F106" s="114">
        <f t="shared" si="24"/>
        <v>0</v>
      </c>
      <c r="G106" s="114">
        <f t="shared" si="24"/>
        <v>0</v>
      </c>
      <c r="H106" s="114">
        <f t="shared" si="24"/>
        <v>0</v>
      </c>
      <c r="I106" s="114">
        <f t="shared" si="24"/>
        <v>0</v>
      </c>
      <c r="J106" s="114">
        <f t="shared" si="24"/>
        <v>0</v>
      </c>
      <c r="K106" s="114">
        <f t="shared" si="24"/>
        <v>0</v>
      </c>
    </row>
    <row r="107" spans="1:11" ht="30">
      <c r="A107" s="107" t="s">
        <v>100</v>
      </c>
      <c r="B107" s="114"/>
      <c r="C107" s="114">
        <f aca="true" t="shared" si="25" ref="C107:K107">C19+C41+C64+C86</f>
        <v>0</v>
      </c>
      <c r="D107" s="114">
        <f t="shared" si="25"/>
        <v>0</v>
      </c>
      <c r="E107" s="114">
        <f t="shared" si="25"/>
        <v>0</v>
      </c>
      <c r="F107" s="114">
        <f t="shared" si="25"/>
        <v>0</v>
      </c>
      <c r="G107" s="114">
        <f t="shared" si="25"/>
        <v>0</v>
      </c>
      <c r="H107" s="114">
        <f t="shared" si="25"/>
        <v>0</v>
      </c>
      <c r="I107" s="114">
        <f t="shared" si="25"/>
        <v>0</v>
      </c>
      <c r="J107" s="114">
        <f t="shared" si="25"/>
        <v>0</v>
      </c>
      <c r="K107" s="114">
        <f t="shared" si="25"/>
        <v>0</v>
      </c>
    </row>
    <row r="108" spans="1:13" ht="15">
      <c r="A108" s="107" t="s">
        <v>101</v>
      </c>
      <c r="B108" s="120"/>
      <c r="C108" s="114">
        <f aca="true" t="shared" si="26" ref="C108:M108">C20+C42+C65+C87</f>
        <v>0</v>
      </c>
      <c r="D108" s="114">
        <f t="shared" si="26"/>
        <v>80.25</v>
      </c>
      <c r="E108" s="114">
        <f t="shared" si="26"/>
        <v>0</v>
      </c>
      <c r="F108" s="114">
        <f t="shared" si="26"/>
        <v>77.12</v>
      </c>
      <c r="G108" s="114">
        <f t="shared" si="26"/>
        <v>0</v>
      </c>
      <c r="H108" s="114">
        <f t="shared" si="26"/>
        <v>77.12</v>
      </c>
      <c r="I108" s="114">
        <f t="shared" si="26"/>
        <v>0</v>
      </c>
      <c r="J108" s="114">
        <f t="shared" si="26"/>
        <v>77.12</v>
      </c>
      <c r="K108" s="114">
        <f t="shared" si="26"/>
        <v>77.2</v>
      </c>
      <c r="L108" s="114">
        <f t="shared" si="26"/>
        <v>0</v>
      </c>
      <c r="M108" s="114">
        <f t="shared" si="26"/>
        <v>0</v>
      </c>
    </row>
    <row r="111" spans="1:11" ht="20.25">
      <c r="A111" s="150" t="s">
        <v>164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</row>
    <row r="112" spans="1:11" ht="45">
      <c r="A112" s="152" t="s">
        <v>84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</row>
    <row r="113" spans="1:11" ht="30">
      <c r="A113" s="107" t="s">
        <v>85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</row>
    <row r="114" spans="1:11" ht="30">
      <c r="A114" s="107" t="s">
        <v>86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</row>
    <row r="115" spans="1:11" ht="30">
      <c r="A115" s="107" t="s">
        <v>87</v>
      </c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</row>
    <row r="116" spans="1:11" ht="15">
      <c r="A116" s="107" t="s">
        <v>88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</row>
    <row r="117" spans="1:11" ht="15">
      <c r="A117" s="107" t="s">
        <v>89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</row>
    <row r="118" spans="1:11" ht="15">
      <c r="A118" s="107" t="s">
        <v>90</v>
      </c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</row>
    <row r="119" spans="1:13" ht="15">
      <c r="A119" s="107" t="s">
        <v>91</v>
      </c>
      <c r="B119" s="151"/>
      <c r="C119" s="153">
        <f>C121+C123+C124</f>
        <v>0</v>
      </c>
      <c r="D119" s="153">
        <f aca="true" t="shared" si="27" ref="D119:M119">D121+D123+D124</f>
        <v>55.535000000000004</v>
      </c>
      <c r="E119" s="153">
        <f>E121+E123+E124+E129</f>
        <v>197.8</v>
      </c>
      <c r="F119" s="153">
        <f aca="true" t="shared" si="28" ref="F119:K119">F121+F123+F124+F129</f>
        <v>120</v>
      </c>
      <c r="G119" s="153">
        <f t="shared" si="28"/>
        <v>0</v>
      </c>
      <c r="H119" s="153">
        <f t="shared" si="28"/>
        <v>140</v>
      </c>
      <c r="I119" s="153">
        <f t="shared" si="28"/>
        <v>60</v>
      </c>
      <c r="J119" s="153">
        <f t="shared" si="28"/>
        <v>160</v>
      </c>
      <c r="K119" s="153">
        <f t="shared" si="28"/>
        <v>60</v>
      </c>
      <c r="L119" s="153">
        <f t="shared" si="27"/>
        <v>40</v>
      </c>
      <c r="M119" s="153">
        <f t="shared" si="27"/>
        <v>0</v>
      </c>
    </row>
    <row r="120" spans="1:11" ht="15">
      <c r="A120" s="107" t="s">
        <v>88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</row>
    <row r="121" spans="1:11" ht="15">
      <c r="A121" s="107" t="s">
        <v>92</v>
      </c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</row>
    <row r="122" spans="1:11" ht="30">
      <c r="A122" s="107" t="s">
        <v>93</v>
      </c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</row>
    <row r="123" spans="1:11" ht="30">
      <c r="A123" s="107" t="s">
        <v>94</v>
      </c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</row>
    <row r="124" spans="1:13" ht="15">
      <c r="A124" s="107" t="s">
        <v>95</v>
      </c>
      <c r="B124" s="151"/>
      <c r="C124" s="153">
        <f>C134+C142+C149+C158+C164+C173</f>
        <v>0</v>
      </c>
      <c r="D124" s="154">
        <f>D126+D127+D128</f>
        <v>55.535000000000004</v>
      </c>
      <c r="E124" s="154">
        <f>E126+E127+E128</f>
        <v>53.3</v>
      </c>
      <c r="F124" s="154">
        <f aca="true" t="shared" si="29" ref="F124:M124">F126+F127+F128</f>
        <v>20</v>
      </c>
      <c r="G124" s="154">
        <f t="shared" si="29"/>
        <v>0</v>
      </c>
      <c r="H124" s="154">
        <f t="shared" si="29"/>
        <v>40</v>
      </c>
      <c r="I124" s="154">
        <f t="shared" si="29"/>
        <v>60</v>
      </c>
      <c r="J124" s="154">
        <f t="shared" si="29"/>
        <v>60</v>
      </c>
      <c r="K124" s="154">
        <f t="shared" si="29"/>
        <v>60</v>
      </c>
      <c r="L124" s="154">
        <f t="shared" si="29"/>
        <v>40</v>
      </c>
      <c r="M124" s="154">
        <f t="shared" si="29"/>
        <v>0</v>
      </c>
    </row>
    <row r="125" spans="1:11" ht="15">
      <c r="A125" s="107" t="s">
        <v>96</v>
      </c>
      <c r="B125" s="151"/>
      <c r="C125" s="153"/>
      <c r="D125" s="154"/>
      <c r="E125" s="151"/>
      <c r="F125" s="151"/>
      <c r="G125" s="151"/>
      <c r="H125" s="151"/>
      <c r="I125" s="151"/>
      <c r="J125" s="151"/>
      <c r="K125" s="151"/>
    </row>
    <row r="126" spans="1:13" ht="30">
      <c r="A126" s="107" t="s">
        <v>97</v>
      </c>
      <c r="B126" s="151"/>
      <c r="C126" s="153">
        <f>C136+C144+C151+C160+C166+C175</f>
        <v>0</v>
      </c>
      <c r="D126" s="154">
        <f>D136+D144+D152+D160+D168+D177+D189</f>
        <v>20.060000000000002</v>
      </c>
      <c r="E126" s="154">
        <f aca="true" t="shared" si="30" ref="E126:M126">E136+E144+E152+E160+E168+E177+E189</f>
        <v>0</v>
      </c>
      <c r="F126" s="154">
        <f t="shared" si="30"/>
        <v>0</v>
      </c>
      <c r="G126" s="154">
        <f t="shared" si="30"/>
        <v>0</v>
      </c>
      <c r="H126" s="154">
        <f t="shared" si="30"/>
        <v>31.8</v>
      </c>
      <c r="I126" s="154">
        <f t="shared" si="30"/>
        <v>31.8</v>
      </c>
      <c r="J126" s="154">
        <f t="shared" si="30"/>
        <v>31.8</v>
      </c>
      <c r="K126" s="154">
        <f t="shared" si="30"/>
        <v>31.8</v>
      </c>
      <c r="L126" s="154">
        <f t="shared" si="30"/>
        <v>31.8</v>
      </c>
      <c r="M126" s="154">
        <f t="shared" si="30"/>
        <v>0</v>
      </c>
    </row>
    <row r="127" spans="1:13" ht="15">
      <c r="A127" s="107" t="s">
        <v>98</v>
      </c>
      <c r="B127" s="151"/>
      <c r="C127" s="153">
        <f>C137+C145+C152+C161+C167+C176</f>
        <v>0</v>
      </c>
      <c r="D127" s="154">
        <f aca="true" t="shared" si="31" ref="D127:M128">D137+D145+D153+D161+D169+D178+D190</f>
        <v>32.11</v>
      </c>
      <c r="E127" s="154">
        <f t="shared" si="31"/>
        <v>32.6</v>
      </c>
      <c r="F127" s="154">
        <f t="shared" si="31"/>
        <v>20</v>
      </c>
      <c r="G127" s="154">
        <f t="shared" si="31"/>
        <v>0</v>
      </c>
      <c r="H127" s="154">
        <f t="shared" si="31"/>
        <v>6.5</v>
      </c>
      <c r="I127" s="154">
        <f t="shared" si="31"/>
        <v>26.5</v>
      </c>
      <c r="J127" s="154">
        <f t="shared" si="31"/>
        <v>26.5</v>
      </c>
      <c r="K127" s="154">
        <f t="shared" si="31"/>
        <v>26.5</v>
      </c>
      <c r="L127" s="154">
        <f t="shared" si="31"/>
        <v>6.5</v>
      </c>
      <c r="M127" s="154">
        <f t="shared" si="31"/>
        <v>0</v>
      </c>
    </row>
    <row r="128" spans="1:13" ht="30">
      <c r="A128" s="107" t="s">
        <v>99</v>
      </c>
      <c r="B128" s="151"/>
      <c r="C128" s="153">
        <f>C138+C146+C153+C162+C168+C177</f>
        <v>0</v>
      </c>
      <c r="D128" s="154">
        <f t="shared" si="31"/>
        <v>3.365</v>
      </c>
      <c r="E128" s="154">
        <f t="shared" si="31"/>
        <v>20.7</v>
      </c>
      <c r="F128" s="154">
        <f t="shared" si="31"/>
        <v>0</v>
      </c>
      <c r="G128" s="154">
        <f t="shared" si="31"/>
        <v>0</v>
      </c>
      <c r="H128" s="154">
        <f t="shared" si="31"/>
        <v>1.7</v>
      </c>
      <c r="I128" s="154">
        <f t="shared" si="31"/>
        <v>1.7</v>
      </c>
      <c r="J128" s="154">
        <f t="shared" si="31"/>
        <v>1.7</v>
      </c>
      <c r="K128" s="154">
        <f t="shared" si="31"/>
        <v>1.7</v>
      </c>
      <c r="L128" s="154">
        <f t="shared" si="31"/>
        <v>1.7</v>
      </c>
      <c r="M128" s="154">
        <f t="shared" si="31"/>
        <v>0</v>
      </c>
    </row>
    <row r="129" spans="1:13" ht="30">
      <c r="A129" s="107" t="s">
        <v>100</v>
      </c>
      <c r="B129" s="151"/>
      <c r="C129" s="151"/>
      <c r="D129" s="151"/>
      <c r="E129" s="151">
        <v>144.5</v>
      </c>
      <c r="F129" s="151">
        <v>100</v>
      </c>
      <c r="G129" s="151"/>
      <c r="H129" s="151">
        <v>100</v>
      </c>
      <c r="I129" s="151"/>
      <c r="J129" s="151">
        <v>100</v>
      </c>
      <c r="K129" s="151"/>
      <c r="L129" s="151"/>
      <c r="M129" s="151"/>
    </row>
    <row r="130" spans="1:13" ht="15">
      <c r="A130" s="107" t="s">
        <v>101</v>
      </c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</row>
    <row r="131" ht="15">
      <c r="A131" s="278"/>
    </row>
    <row r="132" ht="15">
      <c r="A132" s="278"/>
    </row>
    <row r="133" spans="1:13" ht="18.75">
      <c r="A133" s="125" t="s">
        <v>165</v>
      </c>
      <c r="C133">
        <v>2018</v>
      </c>
      <c r="D133">
        <v>2019</v>
      </c>
      <c r="E133">
        <v>2020</v>
      </c>
      <c r="F133" s="298">
        <v>2021</v>
      </c>
      <c r="G133" s="298"/>
      <c r="H133" s="298">
        <v>2022</v>
      </c>
      <c r="I133" s="298"/>
      <c r="J133" s="298">
        <v>2023</v>
      </c>
      <c r="K133" s="298"/>
      <c r="L133" s="298">
        <v>2024</v>
      </c>
      <c r="M133" s="298"/>
    </row>
    <row r="134" spans="1:13" ht="15">
      <c r="A134" s="107" t="s">
        <v>95</v>
      </c>
      <c r="B134" s="114"/>
      <c r="C134" s="130">
        <f>C136+C137+C138</f>
        <v>0</v>
      </c>
      <c r="D134" s="145">
        <f>D136+D137+D138</f>
        <v>13.215000000000003</v>
      </c>
      <c r="E134" s="145">
        <f aca="true" t="shared" si="32" ref="E134:M134">E136+E137+E138</f>
        <v>0</v>
      </c>
      <c r="F134" s="145">
        <f t="shared" si="32"/>
        <v>0</v>
      </c>
      <c r="G134" s="145">
        <f t="shared" si="32"/>
        <v>0</v>
      </c>
      <c r="H134" s="145">
        <f t="shared" si="32"/>
        <v>0</v>
      </c>
      <c r="I134" s="145">
        <f t="shared" si="32"/>
        <v>0</v>
      </c>
      <c r="J134" s="145">
        <f t="shared" si="32"/>
        <v>0</v>
      </c>
      <c r="K134" s="145">
        <f t="shared" si="32"/>
        <v>0</v>
      </c>
      <c r="L134" s="145">
        <f t="shared" si="32"/>
        <v>0</v>
      </c>
      <c r="M134" s="145">
        <f t="shared" si="32"/>
        <v>0</v>
      </c>
    </row>
    <row r="135" spans="1:11" ht="15">
      <c r="A135" s="107" t="s">
        <v>96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6"/>
    </row>
    <row r="136" spans="1:13" ht="30">
      <c r="A136" s="107" t="s">
        <v>97</v>
      </c>
      <c r="B136" s="114"/>
      <c r="C136" s="114">
        <v>0</v>
      </c>
      <c r="D136" s="127">
        <v>0</v>
      </c>
      <c r="F136" s="114"/>
      <c r="G136" s="114"/>
      <c r="H136" s="114"/>
      <c r="I136" s="114"/>
      <c r="J136" s="114"/>
      <c r="K136" s="114"/>
      <c r="L136">
        <v>0</v>
      </c>
      <c r="M136">
        <v>0</v>
      </c>
    </row>
    <row r="137" spans="1:13" ht="15">
      <c r="A137" s="107" t="s">
        <v>98</v>
      </c>
      <c r="B137" s="114"/>
      <c r="C137" s="114">
        <v>0</v>
      </c>
      <c r="D137" s="126">
        <f>'[2]Приложение 1 (ОТЧЕТНЫЙ ПЕРИОД)'!$G$126-'[2]Приложение 1 (ОТЧЕТНЫЙ ПЕРИОД)'!$G$99-'[2]Приложение 1 (ОТЧЕТНЫЙ ПЕРИОД)'!$G$95-'[2]Приложение 1 (ОТЧЕТНЫЙ ПЕРИОД)'!$G$91-'[2]Приложение 1 (ОТЧЕТНЫЙ ПЕРИОД)'!$G$32</f>
        <v>10.830000000000004</v>
      </c>
      <c r="E137" s="147"/>
      <c r="F137">
        <v>0</v>
      </c>
      <c r="G137" s="91"/>
      <c r="I137" s="91"/>
      <c r="K137" s="91"/>
      <c r="L137" s="91">
        <v>0</v>
      </c>
      <c r="M137" s="91">
        <v>0</v>
      </c>
    </row>
    <row r="138" spans="1:13" ht="30">
      <c r="A138" s="107" t="s">
        <v>99</v>
      </c>
      <c r="B138" s="114"/>
      <c r="C138" s="114">
        <v>0</v>
      </c>
      <c r="D138" s="126">
        <f>'[2]Приложение 1 (ОТЧЕТНЫЙ ПЕРИОД)'!$G$127-'[2]Приложение 1 (ОТЧЕТНЫЙ ПЕРИОД)'!$G$100-'[2]Приложение 1 (ОТЧЕТНЫЙ ПЕРИОД)'!$G$96-'[2]Приложение 1 (ОТЧЕТНЫЙ ПЕРИОД)'!$G$92-'[2]Приложение 1 (ОТЧЕТНЫЙ ПЕРИОД)'!$G$33</f>
        <v>2.385</v>
      </c>
      <c r="E138" s="147"/>
      <c r="F138">
        <v>0</v>
      </c>
      <c r="G138" s="91"/>
      <c r="I138" s="91"/>
      <c r="K138" s="91"/>
      <c r="L138" s="91">
        <v>0</v>
      </c>
      <c r="M138" s="91">
        <v>0</v>
      </c>
    </row>
    <row r="141" ht="18.75">
      <c r="A141" s="122" t="s">
        <v>140</v>
      </c>
    </row>
    <row r="142" spans="1:13" ht="15">
      <c r="A142" s="107" t="s">
        <v>95</v>
      </c>
      <c r="C142" s="145">
        <f>C144+C145+C146</f>
        <v>0</v>
      </c>
      <c r="D142" s="146">
        <f aca="true" t="shared" si="33" ref="D142:M142">D144+D145+D146</f>
        <v>15.8</v>
      </c>
      <c r="E142" s="145">
        <f t="shared" si="33"/>
        <v>0</v>
      </c>
      <c r="F142" s="145">
        <f t="shared" si="33"/>
        <v>0</v>
      </c>
      <c r="G142" s="145">
        <f t="shared" si="33"/>
        <v>0</v>
      </c>
      <c r="H142" s="145">
        <f t="shared" si="33"/>
        <v>40</v>
      </c>
      <c r="I142" s="145">
        <f t="shared" si="33"/>
        <v>40</v>
      </c>
      <c r="J142" s="145">
        <f t="shared" si="33"/>
        <v>40</v>
      </c>
      <c r="K142" s="145">
        <f t="shared" si="33"/>
        <v>40</v>
      </c>
      <c r="L142" s="145">
        <f t="shared" si="33"/>
        <v>40</v>
      </c>
      <c r="M142" s="145">
        <f t="shared" si="33"/>
        <v>0</v>
      </c>
    </row>
    <row r="143" ht="15">
      <c r="A143" s="107" t="s">
        <v>96</v>
      </c>
    </row>
    <row r="144" spans="1:12" ht="15">
      <c r="A144" s="107" t="s">
        <v>97</v>
      </c>
      <c r="C144">
        <v>0</v>
      </c>
      <c r="D144" s="114">
        <v>15.4</v>
      </c>
      <c r="F144">
        <v>0</v>
      </c>
      <c r="H144">
        <v>31.8</v>
      </c>
      <c r="I144">
        <v>31.8</v>
      </c>
      <c r="J144">
        <v>31.8</v>
      </c>
      <c r="K144">
        <v>31.8</v>
      </c>
      <c r="L144">
        <v>31.8</v>
      </c>
    </row>
    <row r="145" spans="1:12" ht="15">
      <c r="A145" s="107" t="s">
        <v>98</v>
      </c>
      <c r="C145">
        <v>0</v>
      </c>
      <c r="D145" s="114">
        <v>0.3</v>
      </c>
      <c r="F145">
        <v>0</v>
      </c>
      <c r="H145">
        <v>6.5</v>
      </c>
      <c r="I145">
        <v>6.5</v>
      </c>
      <c r="J145">
        <v>6.5</v>
      </c>
      <c r="K145">
        <v>6.5</v>
      </c>
      <c r="L145">
        <v>6.5</v>
      </c>
    </row>
    <row r="146" spans="1:12" ht="30">
      <c r="A146" s="107" t="s">
        <v>99</v>
      </c>
      <c r="C146">
        <v>0</v>
      </c>
      <c r="D146" s="114">
        <v>0.1</v>
      </c>
      <c r="F146">
        <v>0</v>
      </c>
      <c r="H146">
        <v>1.7</v>
      </c>
      <c r="I146">
        <v>1.7</v>
      </c>
      <c r="J146">
        <v>1.7</v>
      </c>
      <c r="K146">
        <v>1.7</v>
      </c>
      <c r="L146">
        <v>1.7</v>
      </c>
    </row>
    <row r="149" spans="1:11" ht="18.75">
      <c r="A149" s="122" t="s">
        <v>141</v>
      </c>
      <c r="C149" s="145">
        <f>C151+C152+C153</f>
        <v>0</v>
      </c>
      <c r="D149" s="145">
        <f>D152+D153+D154</f>
        <v>7.42</v>
      </c>
      <c r="E149" s="145">
        <f aca="true" t="shared" si="34" ref="E149:K149">E151+E152+E153</f>
        <v>0</v>
      </c>
      <c r="F149" s="145">
        <f t="shared" si="34"/>
        <v>0</v>
      </c>
      <c r="G149" s="145">
        <f t="shared" si="34"/>
        <v>0</v>
      </c>
      <c r="H149" s="145">
        <f t="shared" si="34"/>
        <v>0</v>
      </c>
      <c r="I149" s="145">
        <f t="shared" si="34"/>
        <v>0</v>
      </c>
      <c r="J149" s="145">
        <f t="shared" si="34"/>
        <v>0</v>
      </c>
      <c r="K149" s="145">
        <f t="shared" si="34"/>
        <v>0</v>
      </c>
    </row>
    <row r="150" ht="15">
      <c r="A150" s="107" t="s">
        <v>95</v>
      </c>
    </row>
    <row r="151" ht="15">
      <c r="A151" s="107" t="s">
        <v>96</v>
      </c>
    </row>
    <row r="152" spans="1:11" ht="16.5">
      <c r="A152" s="107" t="s">
        <v>97</v>
      </c>
      <c r="C152">
        <v>0</v>
      </c>
      <c r="D152" s="128">
        <v>4.66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</row>
    <row r="153" spans="1:11" ht="16.5">
      <c r="A153" s="107" t="s">
        <v>98</v>
      </c>
      <c r="C153">
        <v>0</v>
      </c>
      <c r="D153" s="128">
        <v>2.58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</row>
    <row r="154" spans="1:11" ht="30">
      <c r="A154" s="107" t="s">
        <v>99</v>
      </c>
      <c r="C154">
        <v>0</v>
      </c>
      <c r="D154" s="129">
        <v>0.18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</row>
    <row r="157" ht="12.75">
      <c r="A157" s="90" t="s">
        <v>163</v>
      </c>
    </row>
    <row r="158" spans="1:11" ht="15">
      <c r="A158" s="107" t="s">
        <v>95</v>
      </c>
      <c r="C158" s="130">
        <f>C160+C161+C162</f>
        <v>0</v>
      </c>
      <c r="D158" s="131">
        <f>D161+D162+D163</f>
        <v>0</v>
      </c>
      <c r="E158" s="130">
        <f aca="true" t="shared" si="35" ref="E158:K158">E160+E161+E162</f>
        <v>2.4</v>
      </c>
      <c r="F158" s="130">
        <f t="shared" si="35"/>
        <v>0</v>
      </c>
      <c r="G158" s="130">
        <f t="shared" si="35"/>
        <v>0</v>
      </c>
      <c r="H158" s="130">
        <f t="shared" si="35"/>
        <v>0</v>
      </c>
      <c r="I158" s="130">
        <f t="shared" si="35"/>
        <v>0</v>
      </c>
      <c r="J158" s="130">
        <f t="shared" si="35"/>
        <v>0</v>
      </c>
      <c r="K158" s="130">
        <f t="shared" si="35"/>
        <v>0</v>
      </c>
    </row>
    <row r="159" ht="15">
      <c r="A159" s="107" t="s">
        <v>96</v>
      </c>
    </row>
    <row r="160" spans="1:3" ht="15">
      <c r="A160" s="107" t="s">
        <v>97</v>
      </c>
      <c r="C160">
        <v>0</v>
      </c>
    </row>
    <row r="161" spans="1:5" ht="15">
      <c r="A161" s="107" t="s">
        <v>98</v>
      </c>
      <c r="C161">
        <v>0</v>
      </c>
      <c r="E161">
        <v>2.4</v>
      </c>
    </row>
    <row r="162" spans="1:3" ht="30">
      <c r="A162" s="107" t="s">
        <v>99</v>
      </c>
      <c r="C162">
        <v>0</v>
      </c>
    </row>
    <row r="164" spans="1:11" ht="14.25">
      <c r="A164" s="109" t="s">
        <v>162</v>
      </c>
      <c r="B164" s="90"/>
      <c r="C164" s="145">
        <f>C166+C167+C168</f>
        <v>0</v>
      </c>
      <c r="D164" s="146">
        <f>D168+D169+D170</f>
        <v>19.099999999999998</v>
      </c>
      <c r="E164" s="146">
        <f aca="true" t="shared" si="36" ref="E164:K164">E168+E169+E170</f>
        <v>20.7</v>
      </c>
      <c r="F164" s="131">
        <f t="shared" si="36"/>
        <v>0</v>
      </c>
      <c r="G164" s="131">
        <f t="shared" si="36"/>
        <v>0</v>
      </c>
      <c r="H164" s="131">
        <f t="shared" si="36"/>
        <v>0</v>
      </c>
      <c r="I164" s="131">
        <f t="shared" si="36"/>
        <v>0</v>
      </c>
      <c r="J164" s="131">
        <f t="shared" si="36"/>
        <v>0</v>
      </c>
      <c r="K164" s="131">
        <f t="shared" si="36"/>
        <v>0</v>
      </c>
    </row>
    <row r="166" ht="15">
      <c r="A166" s="107" t="s">
        <v>95</v>
      </c>
    </row>
    <row r="167" ht="15">
      <c r="A167" s="107" t="s">
        <v>96</v>
      </c>
    </row>
    <row r="168" spans="1:11" ht="15">
      <c r="A168" s="107" t="s">
        <v>97</v>
      </c>
      <c r="C168">
        <v>0</v>
      </c>
      <c r="E168" s="91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</row>
    <row r="169" spans="1:11" ht="15">
      <c r="A169" s="107" t="s">
        <v>98</v>
      </c>
      <c r="C169">
        <v>0</v>
      </c>
      <c r="D169">
        <v>18.4</v>
      </c>
      <c r="E169" s="91"/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</row>
    <row r="170" spans="1:11" ht="30">
      <c r="A170" s="107" t="s">
        <v>99</v>
      </c>
      <c r="C170">
        <v>0</v>
      </c>
      <c r="D170">
        <v>0.7</v>
      </c>
      <c r="E170" s="91">
        <v>20.7</v>
      </c>
      <c r="G170">
        <v>0</v>
      </c>
      <c r="H170">
        <v>0</v>
      </c>
      <c r="I170">
        <v>0</v>
      </c>
      <c r="J170">
        <v>0</v>
      </c>
      <c r="K170">
        <v>0</v>
      </c>
    </row>
    <row r="173" spans="1:11" ht="14.25">
      <c r="A173" s="109" t="s">
        <v>148</v>
      </c>
      <c r="C173" s="95"/>
      <c r="D173" s="95"/>
      <c r="E173" s="148"/>
      <c r="F173" s="95"/>
      <c r="G173" s="95"/>
      <c r="H173" s="95"/>
      <c r="I173" s="95"/>
      <c r="J173" s="95"/>
      <c r="K173" s="95"/>
    </row>
    <row r="175" spans="1:11" ht="15">
      <c r="A175" s="107" t="s">
        <v>95</v>
      </c>
      <c r="C175">
        <f>C177+C178+C179</f>
        <v>0</v>
      </c>
      <c r="D175">
        <f aca="true" t="shared" si="37" ref="D175:K175">D177+D178+D179</f>
        <v>0</v>
      </c>
      <c r="E175" s="186">
        <f t="shared" si="37"/>
        <v>30.2</v>
      </c>
      <c r="F175" s="186">
        <f t="shared" si="37"/>
        <v>20</v>
      </c>
      <c r="G175">
        <f t="shared" si="37"/>
        <v>0</v>
      </c>
      <c r="H175" s="186">
        <f t="shared" si="37"/>
        <v>0</v>
      </c>
      <c r="I175" s="186">
        <f t="shared" si="37"/>
        <v>20</v>
      </c>
      <c r="J175" s="186">
        <f t="shared" si="37"/>
        <v>20</v>
      </c>
      <c r="K175">
        <f t="shared" si="37"/>
        <v>20</v>
      </c>
    </row>
    <row r="176" spans="1:5" ht="15">
      <c r="A176" s="107" t="s">
        <v>96</v>
      </c>
      <c r="E176" s="96"/>
    </row>
    <row r="177" spans="1:11" ht="15">
      <c r="A177" s="107" t="s">
        <v>97</v>
      </c>
      <c r="C177">
        <v>0</v>
      </c>
      <c r="D177">
        <v>0</v>
      </c>
      <c r="E177" s="96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</row>
    <row r="178" spans="1:11" ht="15">
      <c r="A178" s="107" t="s">
        <v>98</v>
      </c>
      <c r="C178">
        <v>0</v>
      </c>
      <c r="D178">
        <v>0</v>
      </c>
      <c r="E178" s="96">
        <v>30.2</v>
      </c>
      <c r="F178" s="100">
        <v>20</v>
      </c>
      <c r="G178">
        <v>0</v>
      </c>
      <c r="I178">
        <v>20</v>
      </c>
      <c r="J178">
        <v>20</v>
      </c>
      <c r="K178">
        <v>20</v>
      </c>
    </row>
    <row r="179" spans="1:11" ht="30">
      <c r="A179" s="107" t="s">
        <v>99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</row>
    <row r="182" ht="14.25">
      <c r="A182" s="109"/>
    </row>
    <row r="185" ht="14.25">
      <c r="A185" s="109" t="s">
        <v>149</v>
      </c>
    </row>
    <row r="187" spans="1:11" ht="15">
      <c r="A187" s="107" t="s">
        <v>95</v>
      </c>
      <c r="C187" s="95">
        <f>C189+C190+C191</f>
        <v>0</v>
      </c>
      <c r="D187" s="95">
        <f>D189+D190+D191</f>
        <v>0</v>
      </c>
      <c r="E187" s="95">
        <f>E189+E190+E191</f>
        <v>0</v>
      </c>
      <c r="F187" s="95">
        <f aca="true" t="shared" si="38" ref="F187:K187">F189+F190+F191</f>
        <v>0</v>
      </c>
      <c r="G187" s="95">
        <f t="shared" si="38"/>
        <v>0</v>
      </c>
      <c r="H187" s="95">
        <f t="shared" si="38"/>
        <v>0</v>
      </c>
      <c r="I187" s="95">
        <f t="shared" si="38"/>
        <v>0</v>
      </c>
      <c r="J187" s="95">
        <f t="shared" si="38"/>
        <v>0</v>
      </c>
      <c r="K187" s="95">
        <f t="shared" si="38"/>
        <v>0</v>
      </c>
    </row>
    <row r="188" ht="15">
      <c r="A188" s="107" t="s">
        <v>96</v>
      </c>
    </row>
    <row r="189" spans="1:11" ht="15">
      <c r="A189" s="107" t="s">
        <v>97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</row>
    <row r="190" spans="1:11" ht="15">
      <c r="A190" s="107" t="s">
        <v>98</v>
      </c>
      <c r="C190">
        <v>0</v>
      </c>
      <c r="D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</row>
    <row r="191" spans="1:11" ht="30">
      <c r="A191" s="107" t="s">
        <v>99</v>
      </c>
      <c r="C191">
        <v>0</v>
      </c>
      <c r="D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</row>
    <row r="194" spans="6:11" ht="12.75">
      <c r="F194" s="298">
        <v>2021</v>
      </c>
      <c r="G194" s="298"/>
      <c r="H194" s="298">
        <v>2022</v>
      </c>
      <c r="I194" s="298"/>
      <c r="J194" s="298">
        <v>2023</v>
      </c>
      <c r="K194" s="298"/>
    </row>
    <row r="195" spans="3:11" ht="12.75">
      <c r="C195">
        <v>2018</v>
      </c>
      <c r="D195">
        <v>2019</v>
      </c>
      <c r="E195">
        <v>2020</v>
      </c>
      <c r="F195" s="98">
        <v>1</v>
      </c>
      <c r="G195" s="98">
        <v>2</v>
      </c>
      <c r="H195" s="98">
        <v>1</v>
      </c>
      <c r="I195" s="98">
        <v>2</v>
      </c>
      <c r="J195" s="98">
        <v>1</v>
      </c>
      <c r="K195" s="98">
        <v>2</v>
      </c>
    </row>
    <row r="196" spans="1:25" ht="45">
      <c r="A196" s="105" t="s">
        <v>84</v>
      </c>
      <c r="B196" s="106" t="s">
        <v>110</v>
      </c>
      <c r="C196" s="162">
        <v>520.82</v>
      </c>
      <c r="D196" s="162">
        <f aca="true" t="shared" si="39" ref="D196:M196">D199</f>
        <v>594.8</v>
      </c>
      <c r="E196" s="162">
        <f t="shared" si="39"/>
        <v>602.4000000000001</v>
      </c>
      <c r="F196" s="162">
        <f t="shared" si="39"/>
        <v>438.528</v>
      </c>
      <c r="G196" s="162">
        <f t="shared" si="39"/>
        <v>791.1090000000002</v>
      </c>
      <c r="H196" s="162">
        <f t="shared" si="39"/>
        <v>465.385</v>
      </c>
      <c r="I196" s="162">
        <f t="shared" si="39"/>
        <v>889.54</v>
      </c>
      <c r="J196" s="162">
        <f t="shared" si="39"/>
        <v>498.558</v>
      </c>
      <c r="K196" s="162">
        <f t="shared" si="39"/>
        <v>984.3030000000001</v>
      </c>
      <c r="L196" s="162">
        <f t="shared" si="39"/>
        <v>350.81499999999994</v>
      </c>
      <c r="M196" s="162">
        <f t="shared" si="39"/>
        <v>475.42</v>
      </c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</row>
    <row r="197" spans="1:25" ht="45">
      <c r="A197" s="107" t="s">
        <v>85</v>
      </c>
      <c r="B197" s="106" t="s">
        <v>1</v>
      </c>
      <c r="D197" s="148">
        <f>D196/C196*100/1.068</f>
        <v>106.93307456536054</v>
      </c>
      <c r="E197" s="148">
        <f>E196/D196/1.062*100</f>
        <v>95.36510397075979</v>
      </c>
      <c r="F197" s="148">
        <f>F196/E196/1.049*100</f>
        <v>69.39638965586653</v>
      </c>
      <c r="G197" s="148">
        <f>G196/E196/1.051*100</f>
        <v>124.95356348156376</v>
      </c>
      <c r="H197" s="148">
        <f>H196/F196/1.046*100</f>
        <v>101.4573158497777</v>
      </c>
      <c r="I197" s="148">
        <f>I196/G196*100/1.048</f>
        <v>107.29213166879204</v>
      </c>
      <c r="J197" s="148">
        <f>J196/H196*100/1.047</f>
        <v>102.31907999394038</v>
      </c>
      <c r="K197" s="148">
        <f>K196/I196*100/1.047</f>
        <v>105.6858014827921</v>
      </c>
      <c r="L197" s="148">
        <f>L196/J196*100/1.047</f>
        <v>67.20719709414635</v>
      </c>
      <c r="M197" s="186">
        <f>M196/K196/1.047*100</f>
        <v>46.13196536093924</v>
      </c>
      <c r="P197" s="148"/>
      <c r="Q197" s="148"/>
      <c r="R197" s="148"/>
      <c r="S197" s="148"/>
      <c r="T197" s="148"/>
      <c r="U197" s="148"/>
      <c r="V197" s="148"/>
      <c r="W197" s="148"/>
      <c r="X197" s="148"/>
      <c r="Y197" s="186"/>
    </row>
    <row r="198" spans="1:13" ht="15">
      <c r="A198" s="107" t="s">
        <v>150</v>
      </c>
      <c r="B198" s="155"/>
      <c r="D198">
        <v>106.8</v>
      </c>
      <c r="E198">
        <v>106.2</v>
      </c>
      <c r="F198">
        <v>104.9</v>
      </c>
      <c r="G198">
        <v>105.1</v>
      </c>
      <c r="H198">
        <v>104.6</v>
      </c>
      <c r="I198">
        <v>104.8</v>
      </c>
      <c r="J198">
        <v>104.7</v>
      </c>
      <c r="K198">
        <v>104.7</v>
      </c>
      <c r="L198">
        <v>104.7</v>
      </c>
      <c r="M198">
        <v>104.7</v>
      </c>
    </row>
    <row r="199" spans="1:13" ht="30">
      <c r="A199" s="107" t="s">
        <v>86</v>
      </c>
      <c r="B199" s="108"/>
      <c r="C199" s="156">
        <f>C200+C204</f>
        <v>520.82</v>
      </c>
      <c r="D199" s="161">
        <f>D200+D204</f>
        <v>594.8</v>
      </c>
      <c r="E199" s="161">
        <f>E200+E209+E215</f>
        <v>602.4000000000001</v>
      </c>
      <c r="F199" s="161">
        <f aca="true" t="shared" si="40" ref="F199:M199">F200+F204</f>
        <v>438.528</v>
      </c>
      <c r="G199" s="161">
        <f t="shared" si="40"/>
        <v>791.1090000000002</v>
      </c>
      <c r="H199" s="161">
        <f t="shared" si="40"/>
        <v>465.385</v>
      </c>
      <c r="I199" s="161">
        <f t="shared" si="40"/>
        <v>889.54</v>
      </c>
      <c r="J199" s="161">
        <f t="shared" si="40"/>
        <v>498.558</v>
      </c>
      <c r="K199" s="161">
        <f t="shared" si="40"/>
        <v>984.3030000000001</v>
      </c>
      <c r="L199" s="161">
        <f t="shared" si="40"/>
        <v>350.81499999999994</v>
      </c>
      <c r="M199" s="161">
        <f t="shared" si="40"/>
        <v>475.42</v>
      </c>
    </row>
    <row r="200" spans="1:13" ht="15">
      <c r="A200" s="107" t="s">
        <v>87</v>
      </c>
      <c r="B200" s="106"/>
      <c r="C200" s="157">
        <v>469.11</v>
      </c>
      <c r="D200" s="118">
        <f>D202+D203</f>
        <v>346.8</v>
      </c>
      <c r="E200" s="118">
        <f aca="true" t="shared" si="41" ref="E200:M200">E93</f>
        <v>404.6</v>
      </c>
      <c r="F200" s="118">
        <f t="shared" si="41"/>
        <v>241.40800000000002</v>
      </c>
      <c r="G200" s="118">
        <f t="shared" si="41"/>
        <v>520.2470000000001</v>
      </c>
      <c r="H200" s="118">
        <f t="shared" si="41"/>
        <v>248.26500000000001</v>
      </c>
      <c r="I200" s="118">
        <f t="shared" si="41"/>
        <v>498.932</v>
      </c>
      <c r="J200" s="118">
        <f t="shared" si="41"/>
        <v>261.438</v>
      </c>
      <c r="K200" s="118">
        <f t="shared" si="41"/>
        <v>383.354</v>
      </c>
      <c r="L200" s="118">
        <f t="shared" si="41"/>
        <v>310.81499999999994</v>
      </c>
      <c r="M200" s="118">
        <f t="shared" si="41"/>
        <v>396.06</v>
      </c>
    </row>
    <row r="201" spans="1:11" ht="15">
      <c r="A201" s="107" t="s">
        <v>88</v>
      </c>
      <c r="B201" s="106"/>
      <c r="C201" s="158"/>
      <c r="D201" s="114"/>
      <c r="E201" s="114"/>
      <c r="F201" s="114"/>
      <c r="G201" s="114"/>
      <c r="H201" s="114"/>
      <c r="I201" s="114"/>
      <c r="J201" s="114"/>
      <c r="K201" s="116"/>
    </row>
    <row r="202" spans="1:13" ht="15">
      <c r="A202" s="107" t="s">
        <v>89</v>
      </c>
      <c r="B202" s="106"/>
      <c r="C202" s="158">
        <v>145</v>
      </c>
      <c r="D202" s="115">
        <v>70</v>
      </c>
      <c r="E202" s="115">
        <f aca="true" t="shared" si="42" ref="E202:M202">E95</f>
        <v>0</v>
      </c>
      <c r="F202" s="115">
        <f t="shared" si="42"/>
        <v>3</v>
      </c>
      <c r="G202" s="115">
        <f t="shared" si="42"/>
        <v>181.263</v>
      </c>
      <c r="H202" s="115">
        <f t="shared" si="42"/>
        <v>3</v>
      </c>
      <c r="I202" s="115">
        <f t="shared" si="42"/>
        <v>151.787</v>
      </c>
      <c r="J202" s="115">
        <f t="shared" si="42"/>
        <v>3</v>
      </c>
      <c r="K202" s="115">
        <f t="shared" si="42"/>
        <v>110.246</v>
      </c>
      <c r="L202" s="115">
        <f t="shared" si="42"/>
        <v>3</v>
      </c>
      <c r="M202" s="115">
        <f t="shared" si="42"/>
        <v>74.50999999999999</v>
      </c>
    </row>
    <row r="203" spans="1:13" ht="15">
      <c r="A203" s="107" t="s">
        <v>90</v>
      </c>
      <c r="B203" s="106"/>
      <c r="C203" s="158">
        <v>324.11</v>
      </c>
      <c r="D203" s="115">
        <v>276.8</v>
      </c>
      <c r="E203" s="115">
        <f aca="true" t="shared" si="43" ref="E203:M203">E96</f>
        <v>404.6</v>
      </c>
      <c r="F203" s="115">
        <f t="shared" si="43"/>
        <v>238.40800000000002</v>
      </c>
      <c r="G203" s="115">
        <f t="shared" si="43"/>
        <v>338.98400000000004</v>
      </c>
      <c r="H203" s="115">
        <f t="shared" si="43"/>
        <v>245.26500000000001</v>
      </c>
      <c r="I203" s="115">
        <f t="shared" si="43"/>
        <v>347.145</v>
      </c>
      <c r="J203" s="115">
        <f t="shared" si="43"/>
        <v>258.438</v>
      </c>
      <c r="K203" s="115">
        <f t="shared" si="43"/>
        <v>273.108</v>
      </c>
      <c r="L203" s="115">
        <f t="shared" si="43"/>
        <v>307.81499999999994</v>
      </c>
      <c r="M203" s="115">
        <f t="shared" si="43"/>
        <v>321.55</v>
      </c>
    </row>
    <row r="204" spans="1:13" ht="15">
      <c r="A204" s="107" t="s">
        <v>91</v>
      </c>
      <c r="B204" s="106"/>
      <c r="C204" s="159">
        <f>C206+C208+C209+C214+C215</f>
        <v>51.71</v>
      </c>
      <c r="D204" s="146">
        <f>D206+D208+D209+D214+D215</f>
        <v>248</v>
      </c>
      <c r="E204" s="146">
        <f aca="true" t="shared" si="44" ref="E204:M204">E206+E208+E209+E214+E215</f>
        <v>342.3</v>
      </c>
      <c r="F204" s="146">
        <f t="shared" si="44"/>
        <v>197.12</v>
      </c>
      <c r="G204" s="146">
        <f t="shared" si="44"/>
        <v>270.862</v>
      </c>
      <c r="H204" s="146">
        <f t="shared" si="44"/>
        <v>217.12</v>
      </c>
      <c r="I204" s="146">
        <f t="shared" si="44"/>
        <v>390.608</v>
      </c>
      <c r="J204" s="146">
        <f t="shared" si="44"/>
        <v>237.12</v>
      </c>
      <c r="K204" s="146">
        <f t="shared" si="44"/>
        <v>600.9490000000001</v>
      </c>
      <c r="L204" s="146">
        <f t="shared" si="44"/>
        <v>40</v>
      </c>
      <c r="M204" s="146">
        <f t="shared" si="44"/>
        <v>79.36</v>
      </c>
    </row>
    <row r="205" spans="1:11" ht="15">
      <c r="A205" s="107" t="s">
        <v>88</v>
      </c>
      <c r="B205" s="106"/>
      <c r="C205" s="158"/>
      <c r="D205" s="115"/>
      <c r="E205" s="115"/>
      <c r="F205" s="115"/>
      <c r="G205" s="115"/>
      <c r="H205" s="115"/>
      <c r="I205" s="115"/>
      <c r="J205" s="115"/>
      <c r="K205" s="115"/>
    </row>
    <row r="206" spans="1:13" ht="15">
      <c r="A206" s="107" t="s">
        <v>92</v>
      </c>
      <c r="B206" s="106"/>
      <c r="C206" s="158">
        <f>C99+C121</f>
        <v>0</v>
      </c>
      <c r="D206" s="115">
        <f aca="true" t="shared" si="45" ref="D206:M206">D99+D121</f>
        <v>0</v>
      </c>
      <c r="E206" s="115">
        <f t="shared" si="45"/>
        <v>0</v>
      </c>
      <c r="F206" s="115">
        <f t="shared" si="45"/>
        <v>0</v>
      </c>
      <c r="G206" s="115">
        <f t="shared" si="45"/>
        <v>0</v>
      </c>
      <c r="H206" s="115">
        <f t="shared" si="45"/>
        <v>0</v>
      </c>
      <c r="I206" s="115">
        <f t="shared" si="45"/>
        <v>0</v>
      </c>
      <c r="J206" s="115">
        <f t="shared" si="45"/>
        <v>0</v>
      </c>
      <c r="K206" s="115">
        <f t="shared" si="45"/>
        <v>0</v>
      </c>
      <c r="L206" s="115">
        <f t="shared" si="45"/>
        <v>0</v>
      </c>
      <c r="M206" s="115">
        <f t="shared" si="45"/>
        <v>0</v>
      </c>
    </row>
    <row r="207" spans="1:11" ht="15">
      <c r="A207" s="107" t="s">
        <v>93</v>
      </c>
      <c r="B207" s="106"/>
      <c r="C207" s="158">
        <f aca="true" t="shared" si="46" ref="C207:K207">C100+C122</f>
        <v>0</v>
      </c>
      <c r="D207" s="115">
        <f t="shared" si="46"/>
        <v>0</v>
      </c>
      <c r="E207" s="115">
        <f t="shared" si="46"/>
        <v>0</v>
      </c>
      <c r="F207" s="115">
        <f t="shared" si="46"/>
        <v>0</v>
      </c>
      <c r="G207" s="115">
        <f t="shared" si="46"/>
        <v>0</v>
      </c>
      <c r="H207" s="115">
        <f t="shared" si="46"/>
        <v>0</v>
      </c>
      <c r="I207" s="115">
        <f t="shared" si="46"/>
        <v>0</v>
      </c>
      <c r="J207" s="115">
        <f t="shared" si="46"/>
        <v>0</v>
      </c>
      <c r="K207" s="115">
        <f t="shared" si="46"/>
        <v>0</v>
      </c>
    </row>
    <row r="208" spans="1:11" ht="30">
      <c r="A208" s="107" t="s">
        <v>94</v>
      </c>
      <c r="B208" s="106"/>
      <c r="C208" s="158">
        <f aca="true" t="shared" si="47" ref="C208:K208">C101+C123</f>
        <v>0</v>
      </c>
      <c r="D208" s="115">
        <v>19.9</v>
      </c>
      <c r="E208" s="115">
        <f t="shared" si="47"/>
        <v>0</v>
      </c>
      <c r="F208" s="115">
        <f t="shared" si="47"/>
        <v>0</v>
      </c>
      <c r="G208" s="115">
        <f t="shared" si="47"/>
        <v>0</v>
      </c>
      <c r="H208" s="115">
        <f t="shared" si="47"/>
        <v>0</v>
      </c>
      <c r="I208" s="115">
        <f t="shared" si="47"/>
        <v>0</v>
      </c>
      <c r="J208" s="115">
        <f t="shared" si="47"/>
        <v>0</v>
      </c>
      <c r="K208" s="115">
        <f t="shared" si="47"/>
        <v>0</v>
      </c>
    </row>
    <row r="209" spans="1:13" ht="15">
      <c r="A209" s="107" t="s">
        <v>95</v>
      </c>
      <c r="B209" s="106"/>
      <c r="C209" s="156">
        <f>C211+C212+C213</f>
        <v>48.84</v>
      </c>
      <c r="D209" s="149">
        <f aca="true" t="shared" si="48" ref="D209:M209">D211+D212+D213</f>
        <v>220.6</v>
      </c>
      <c r="E209" s="149">
        <f>E211+E212+E213+E214</f>
        <v>197.8</v>
      </c>
      <c r="F209" s="149">
        <f t="shared" si="48"/>
        <v>20</v>
      </c>
      <c r="G209" s="149">
        <f t="shared" si="48"/>
        <v>270.862</v>
      </c>
      <c r="H209" s="149">
        <f t="shared" si="48"/>
        <v>40</v>
      </c>
      <c r="I209" s="149">
        <f t="shared" si="48"/>
        <v>390.608</v>
      </c>
      <c r="J209" s="149">
        <f t="shared" si="48"/>
        <v>60</v>
      </c>
      <c r="K209" s="149">
        <f t="shared" si="48"/>
        <v>443.749</v>
      </c>
      <c r="L209" s="149">
        <f t="shared" si="48"/>
        <v>40</v>
      </c>
      <c r="M209" s="149">
        <f t="shared" si="48"/>
        <v>79.36</v>
      </c>
    </row>
    <row r="210" spans="1:3" ht="15">
      <c r="A210" s="107" t="s">
        <v>96</v>
      </c>
      <c r="B210" s="106"/>
      <c r="C210" s="142"/>
    </row>
    <row r="211" spans="1:13" ht="15">
      <c r="A211" s="107" t="s">
        <v>97</v>
      </c>
      <c r="B211" s="106"/>
      <c r="C211" s="160">
        <v>3.16</v>
      </c>
      <c r="D211" s="140">
        <v>4.1</v>
      </c>
      <c r="E211" s="140">
        <f aca="true" t="shared" si="49" ref="E211:M211">E126+E104</f>
        <v>0</v>
      </c>
      <c r="F211" s="140">
        <f t="shared" si="49"/>
        <v>0</v>
      </c>
      <c r="G211" s="140">
        <f t="shared" si="49"/>
        <v>0</v>
      </c>
      <c r="H211" s="140">
        <f t="shared" si="49"/>
        <v>31.8</v>
      </c>
      <c r="I211" s="140">
        <f t="shared" si="49"/>
        <v>208.79600000000002</v>
      </c>
      <c r="J211" s="140">
        <f t="shared" si="49"/>
        <v>31.8</v>
      </c>
      <c r="K211" s="140">
        <f t="shared" si="49"/>
        <v>337.66700000000003</v>
      </c>
      <c r="L211" s="140">
        <f t="shared" si="49"/>
        <v>31.8</v>
      </c>
      <c r="M211" s="140">
        <f t="shared" si="49"/>
        <v>0</v>
      </c>
    </row>
    <row r="212" spans="1:13" ht="15">
      <c r="A212" s="107" t="s">
        <v>98</v>
      </c>
      <c r="B212" s="106"/>
      <c r="C212" s="156">
        <v>32.46</v>
      </c>
      <c r="D212" s="149">
        <v>189.7</v>
      </c>
      <c r="E212" s="149">
        <f aca="true" t="shared" si="50" ref="E212:M215">E127+E105</f>
        <v>32.6</v>
      </c>
      <c r="F212" s="149">
        <f t="shared" si="50"/>
        <v>20</v>
      </c>
      <c r="G212" s="149">
        <f t="shared" si="50"/>
        <v>270.862</v>
      </c>
      <c r="H212" s="149">
        <f t="shared" si="50"/>
        <v>6.5</v>
      </c>
      <c r="I212" s="149">
        <f t="shared" si="50"/>
        <v>180.112</v>
      </c>
      <c r="J212" s="149">
        <f t="shared" si="50"/>
        <v>26.5</v>
      </c>
      <c r="K212" s="149">
        <f t="shared" si="50"/>
        <v>104.382</v>
      </c>
      <c r="L212" s="149">
        <f t="shared" si="50"/>
        <v>6.5</v>
      </c>
      <c r="M212" s="149">
        <f t="shared" si="50"/>
        <v>79.36</v>
      </c>
    </row>
    <row r="213" spans="1:13" ht="30">
      <c r="A213" s="107" t="s">
        <v>99</v>
      </c>
      <c r="B213" s="106"/>
      <c r="C213" s="160">
        <v>13.22</v>
      </c>
      <c r="D213" s="140">
        <v>26.8</v>
      </c>
      <c r="E213" s="140">
        <f t="shared" si="50"/>
        <v>20.7</v>
      </c>
      <c r="F213" s="140">
        <f t="shared" si="50"/>
        <v>0</v>
      </c>
      <c r="G213" s="140">
        <f t="shared" si="50"/>
        <v>0</v>
      </c>
      <c r="H213" s="140">
        <f t="shared" si="50"/>
        <v>1.7</v>
      </c>
      <c r="I213" s="140">
        <f t="shared" si="50"/>
        <v>1.7</v>
      </c>
      <c r="J213" s="140">
        <f t="shared" si="50"/>
        <v>1.7</v>
      </c>
      <c r="K213" s="140">
        <f t="shared" si="50"/>
        <v>1.7</v>
      </c>
      <c r="L213" s="140">
        <f t="shared" si="50"/>
        <v>1.7</v>
      </c>
      <c r="M213" s="140">
        <f t="shared" si="50"/>
        <v>0</v>
      </c>
    </row>
    <row r="214" spans="1:11" ht="30">
      <c r="A214" s="107" t="s">
        <v>100</v>
      </c>
      <c r="B214" s="106"/>
      <c r="C214" s="160">
        <v>0.48</v>
      </c>
      <c r="D214" s="140">
        <v>0.9</v>
      </c>
      <c r="E214" s="140">
        <f t="shared" si="50"/>
        <v>144.5</v>
      </c>
      <c r="F214" s="140">
        <f t="shared" si="50"/>
        <v>100</v>
      </c>
      <c r="G214" s="140">
        <f t="shared" si="50"/>
        <v>0</v>
      </c>
      <c r="H214" s="140">
        <f t="shared" si="50"/>
        <v>100</v>
      </c>
      <c r="I214" s="140">
        <f t="shared" si="50"/>
        <v>0</v>
      </c>
      <c r="J214" s="140">
        <f t="shared" si="50"/>
        <v>100</v>
      </c>
      <c r="K214" s="140">
        <v>80</v>
      </c>
    </row>
    <row r="215" spans="1:13" ht="15">
      <c r="A215" s="107" t="s">
        <v>101</v>
      </c>
      <c r="B215" s="106"/>
      <c r="C215" s="160">
        <v>2.39</v>
      </c>
      <c r="D215" s="140">
        <v>6.6</v>
      </c>
      <c r="E215" s="140">
        <f t="shared" si="50"/>
        <v>0</v>
      </c>
      <c r="F215" s="140">
        <f t="shared" si="50"/>
        <v>77.12</v>
      </c>
      <c r="G215" s="140">
        <f t="shared" si="50"/>
        <v>0</v>
      </c>
      <c r="H215" s="140">
        <f t="shared" si="50"/>
        <v>77.12</v>
      </c>
      <c r="I215" s="140">
        <f t="shared" si="50"/>
        <v>0</v>
      </c>
      <c r="J215" s="140">
        <f t="shared" si="50"/>
        <v>77.12</v>
      </c>
      <c r="K215" s="140">
        <f t="shared" si="50"/>
        <v>77.2</v>
      </c>
      <c r="L215" s="140">
        <f t="shared" si="50"/>
        <v>0</v>
      </c>
      <c r="M215" s="140">
        <f t="shared" si="50"/>
        <v>0</v>
      </c>
    </row>
  </sheetData>
  <sheetProtection/>
  <mergeCells count="12">
    <mergeCell ref="F194:G194"/>
    <mergeCell ref="H194:I194"/>
    <mergeCell ref="J194:K194"/>
    <mergeCell ref="F133:G133"/>
    <mergeCell ref="H133:I133"/>
    <mergeCell ref="J133:K133"/>
    <mergeCell ref="F1:G1"/>
    <mergeCell ref="H1:I1"/>
    <mergeCell ref="L133:M133"/>
    <mergeCell ref="F89:G89"/>
    <mergeCell ref="H89:I89"/>
    <mergeCell ref="J89:K89"/>
  </mergeCells>
  <printOptions/>
  <pageMargins left="0.7" right="0.7" top="0.75" bottom="0.75" header="0.3" footer="0.3"/>
  <pageSetup horizontalDpi="600" verticalDpi="600" orientation="landscape" paperSize="9" scale="95" r:id="rId3"/>
  <colBreaks count="1" manualBreakCount="1">
    <brk id="11" min="88" max="10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4" sqref="A4:E5"/>
    </sheetView>
  </sheetViews>
  <sheetFormatPr defaultColWidth="9.00390625" defaultRowHeight="12.75"/>
  <cols>
    <col min="1" max="1" width="54.125" style="0" customWidth="1"/>
    <col min="2" max="2" width="18.875" style="0" customWidth="1"/>
    <col min="3" max="3" width="13.25390625" style="0" customWidth="1"/>
    <col min="4" max="4" width="13.375" style="0" customWidth="1"/>
  </cols>
  <sheetData>
    <row r="1" ht="12.75">
      <c r="A1" t="s">
        <v>6</v>
      </c>
    </row>
    <row r="2" spans="1:7" ht="25.5" customHeight="1">
      <c r="A2" s="300" t="s">
        <v>32</v>
      </c>
      <c r="B2" s="300" t="s">
        <v>154</v>
      </c>
      <c r="C2" s="301" t="s">
        <v>155</v>
      </c>
      <c r="D2" s="301" t="s">
        <v>156</v>
      </c>
      <c r="E2" s="300" t="s">
        <v>157</v>
      </c>
      <c r="F2" s="300"/>
      <c r="G2" s="300"/>
    </row>
    <row r="3" spans="1:7" ht="12.75">
      <c r="A3" s="300"/>
      <c r="B3" s="300"/>
      <c r="C3" s="301"/>
      <c r="D3" s="301"/>
      <c r="E3" s="233">
        <v>2021</v>
      </c>
      <c r="F3" s="233">
        <v>2022</v>
      </c>
      <c r="G3" s="233">
        <v>2023</v>
      </c>
    </row>
    <row r="4" spans="1:7" ht="15" customHeight="1">
      <c r="A4" s="302" t="s">
        <v>41</v>
      </c>
      <c r="B4" s="301" t="s">
        <v>30</v>
      </c>
      <c r="C4" s="299">
        <v>42.08</v>
      </c>
      <c r="D4" s="299">
        <v>41.62</v>
      </c>
      <c r="E4" s="299">
        <v>41.21</v>
      </c>
      <c r="F4" s="299">
        <v>40.8</v>
      </c>
      <c r="G4" s="299">
        <v>40.42</v>
      </c>
    </row>
    <row r="5" spans="1:7" ht="12.75">
      <c r="A5" s="302"/>
      <c r="B5" s="301"/>
      <c r="C5" s="299"/>
      <c r="D5" s="299"/>
      <c r="E5" s="299"/>
      <c r="F5" s="299"/>
      <c r="G5" s="299"/>
    </row>
    <row r="6" spans="1:7" ht="12.75">
      <c r="A6" s="235" t="s">
        <v>158</v>
      </c>
      <c r="B6" s="234" t="s">
        <v>2</v>
      </c>
      <c r="C6" s="234">
        <v>104.4</v>
      </c>
      <c r="D6" s="234">
        <v>103.2</v>
      </c>
      <c r="E6" s="234">
        <v>103.6</v>
      </c>
      <c r="F6" s="234">
        <v>103.8</v>
      </c>
      <c r="G6" s="234">
        <v>104</v>
      </c>
    </row>
    <row r="7" spans="1:7" ht="43.5" customHeight="1">
      <c r="A7" s="232" t="s">
        <v>76</v>
      </c>
      <c r="B7" s="234" t="s">
        <v>2</v>
      </c>
      <c r="C7" s="233">
        <v>1.24</v>
      </c>
      <c r="D7" s="233">
        <v>2.4</v>
      </c>
      <c r="E7" s="233">
        <v>1.84</v>
      </c>
      <c r="F7" s="233">
        <v>1.63</v>
      </c>
      <c r="G7" s="233">
        <v>1.41</v>
      </c>
    </row>
    <row r="8" spans="1:7" ht="12.75">
      <c r="A8" s="235" t="s">
        <v>159</v>
      </c>
      <c r="B8" s="234" t="s">
        <v>59</v>
      </c>
      <c r="C8" s="234">
        <v>39965.3</v>
      </c>
      <c r="D8" s="234">
        <v>43526.8</v>
      </c>
      <c r="E8" s="234">
        <v>45903.4</v>
      </c>
      <c r="F8" s="234">
        <v>48978.9</v>
      </c>
      <c r="G8" s="234">
        <v>52260.5</v>
      </c>
    </row>
    <row r="9" spans="1:7" ht="12.75">
      <c r="A9" s="235" t="s">
        <v>160</v>
      </c>
      <c r="B9" s="234" t="s">
        <v>59</v>
      </c>
      <c r="C9" s="236">
        <v>13142</v>
      </c>
      <c r="D9" s="236">
        <v>13930</v>
      </c>
      <c r="E9" s="234">
        <v>14504.3</v>
      </c>
      <c r="F9" s="234">
        <v>15069.9</v>
      </c>
      <c r="G9" s="234">
        <v>15657.6</v>
      </c>
    </row>
    <row r="10" spans="1:7" ht="12.75">
      <c r="A10" s="231" t="s">
        <v>82</v>
      </c>
      <c r="B10" s="231" t="s">
        <v>161</v>
      </c>
      <c r="C10" s="231"/>
      <c r="D10" s="231"/>
      <c r="E10" s="231"/>
      <c r="F10" s="231"/>
      <c r="G10" s="231"/>
    </row>
    <row r="11" spans="1:7" ht="12.75">
      <c r="A11" s="231"/>
      <c r="B11" s="231"/>
      <c r="C11" s="231"/>
      <c r="D11" s="231"/>
      <c r="E11" s="231"/>
      <c r="F11" s="231"/>
      <c r="G11" s="231"/>
    </row>
    <row r="12" spans="1:7" ht="12.75">
      <c r="A12" s="231"/>
      <c r="B12" s="231"/>
      <c r="C12" s="231"/>
      <c r="D12" s="231"/>
      <c r="E12" s="231"/>
      <c r="F12" s="231"/>
      <c r="G12" s="231"/>
    </row>
    <row r="13" spans="1:7" ht="12.75">
      <c r="A13" s="231"/>
      <c r="B13" s="231"/>
      <c r="C13" s="231"/>
      <c r="D13" s="231"/>
      <c r="E13" s="231"/>
      <c r="F13" s="231"/>
      <c r="G13" s="231"/>
    </row>
    <row r="14" spans="1:7" ht="12.75">
      <c r="A14" s="231"/>
      <c r="B14" s="231"/>
      <c r="C14" s="231"/>
      <c r="D14" s="231"/>
      <c r="E14" s="231"/>
      <c r="F14" s="231"/>
      <c r="G14" s="231"/>
    </row>
    <row r="15" spans="1:7" ht="12.75">
      <c r="A15" s="231"/>
      <c r="B15" s="231"/>
      <c r="C15" s="231"/>
      <c r="D15" s="231"/>
      <c r="E15" s="231"/>
      <c r="F15" s="231"/>
      <c r="G15" s="231"/>
    </row>
    <row r="16" spans="1:7" ht="12.75">
      <c r="A16" s="231"/>
      <c r="B16" s="231"/>
      <c r="C16" s="231"/>
      <c r="D16" s="231"/>
      <c r="E16" s="231"/>
      <c r="F16" s="231"/>
      <c r="G16" s="231"/>
    </row>
    <row r="17" spans="1:7" ht="12.75">
      <c r="A17" s="231"/>
      <c r="B17" s="231"/>
      <c r="C17" s="231"/>
      <c r="D17" s="231"/>
      <c r="E17" s="231"/>
      <c r="F17" s="231"/>
      <c r="G17" s="231"/>
    </row>
    <row r="18" spans="1:7" ht="12.75">
      <c r="A18" s="231"/>
      <c r="B18" s="231"/>
      <c r="C18" s="231"/>
      <c r="D18" s="231"/>
      <c r="E18" s="231"/>
      <c r="F18" s="231"/>
      <c r="G18" s="231"/>
    </row>
    <row r="19" spans="1:7" ht="12.75">
      <c r="A19" s="231"/>
      <c r="B19" s="231"/>
      <c r="C19" s="231"/>
      <c r="D19" s="231"/>
      <c r="E19" s="231"/>
      <c r="F19" s="231"/>
      <c r="G19" s="231"/>
    </row>
    <row r="20" spans="1:7" ht="12.75">
      <c r="A20" s="231"/>
      <c r="B20" s="231"/>
      <c r="C20" s="231"/>
      <c r="D20" s="231"/>
      <c r="E20" s="231"/>
      <c r="F20" s="231"/>
      <c r="G20" s="231"/>
    </row>
    <row r="21" spans="1:7" ht="12.75">
      <c r="A21" s="231"/>
      <c r="B21" s="231"/>
      <c r="C21" s="231"/>
      <c r="D21" s="231"/>
      <c r="E21" s="231"/>
      <c r="F21" s="231"/>
      <c r="G21" s="231"/>
    </row>
    <row r="22" spans="1:7" ht="12.75">
      <c r="A22" s="231"/>
      <c r="B22" s="231"/>
      <c r="C22" s="231"/>
      <c r="D22" s="231"/>
      <c r="E22" s="231"/>
      <c r="F22" s="231"/>
      <c r="G22" s="231"/>
    </row>
    <row r="23" spans="1:7" ht="12.75">
      <c r="A23" s="231"/>
      <c r="B23" s="231"/>
      <c r="C23" s="231"/>
      <c r="D23" s="231"/>
      <c r="E23" s="231"/>
      <c r="F23" s="231"/>
      <c r="G23" s="231"/>
    </row>
    <row r="24" spans="1:7" ht="12.75">
      <c r="A24" s="231"/>
      <c r="B24" s="231"/>
      <c r="C24" s="231"/>
      <c r="D24" s="231"/>
      <c r="E24" s="231"/>
      <c r="F24" s="231"/>
      <c r="G24" s="231"/>
    </row>
    <row r="25" spans="1:7" ht="12.75">
      <c r="A25" s="231"/>
      <c r="B25" s="231"/>
      <c r="C25" s="231"/>
      <c r="D25" s="231"/>
      <c r="E25" s="231"/>
      <c r="F25" s="231"/>
      <c r="G25" s="231"/>
    </row>
    <row r="26" spans="1:7" ht="12.75">
      <c r="A26" s="231"/>
      <c r="B26" s="231"/>
      <c r="C26" s="231"/>
      <c r="D26" s="231"/>
      <c r="E26" s="231"/>
      <c r="F26" s="231"/>
      <c r="G26" s="231"/>
    </row>
    <row r="27" spans="1:7" ht="12.75">
      <c r="A27" s="231"/>
      <c r="B27" s="231"/>
      <c r="C27" s="231"/>
      <c r="D27" s="231"/>
      <c r="E27" s="231"/>
      <c r="F27" s="231"/>
      <c r="G27" s="231"/>
    </row>
  </sheetData>
  <sheetProtection/>
  <mergeCells count="12">
    <mergeCell ref="F4:F5"/>
    <mergeCell ref="G4:G5"/>
    <mergeCell ref="C4:C5"/>
    <mergeCell ref="D4:D5"/>
    <mergeCell ref="E2:G2"/>
    <mergeCell ref="A2:A3"/>
    <mergeCell ref="B2:B3"/>
    <mergeCell ref="C2:C3"/>
    <mergeCell ref="D2:D3"/>
    <mergeCell ref="A4:A5"/>
    <mergeCell ref="B4:B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pane xSplit="1" ySplit="5" topLeftCell="B42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H65" sqref="H65"/>
    </sheetView>
  </sheetViews>
  <sheetFormatPr defaultColWidth="9.00390625" defaultRowHeight="12.75"/>
  <cols>
    <col min="1" max="1" width="42.125" style="0" customWidth="1"/>
    <col min="2" max="2" width="18.75390625" style="0" customWidth="1"/>
    <col min="3" max="11" width="13.875" style="0" bestFit="1" customWidth="1"/>
    <col min="12" max="12" width="12.25390625" style="0" customWidth="1"/>
    <col min="13" max="13" width="13.25390625" style="0" customWidth="1"/>
  </cols>
  <sheetData>
    <row r="1" ht="12.75">
      <c r="A1" t="s">
        <v>6</v>
      </c>
    </row>
    <row r="2" spans="3:13" ht="12.75">
      <c r="C2">
        <v>2018</v>
      </c>
      <c r="D2">
        <v>2019</v>
      </c>
      <c r="E2">
        <v>2020</v>
      </c>
      <c r="F2" s="297">
        <v>2021</v>
      </c>
      <c r="G2" s="297"/>
      <c r="H2" s="297">
        <v>2022</v>
      </c>
      <c r="I2" s="297"/>
      <c r="J2" s="297">
        <v>2023</v>
      </c>
      <c r="K2" s="297"/>
      <c r="L2" s="298">
        <v>2024</v>
      </c>
      <c r="M2" s="298"/>
    </row>
    <row r="3" spans="6:13" ht="12.75">
      <c r="F3" s="188"/>
      <c r="G3" s="188"/>
      <c r="H3" s="188"/>
      <c r="I3" s="188"/>
      <c r="J3" s="188"/>
      <c r="K3" s="188"/>
      <c r="L3" s="98"/>
      <c r="M3" s="98"/>
    </row>
    <row r="4" spans="6:13" ht="12.75">
      <c r="F4" s="188"/>
      <c r="G4" s="188"/>
      <c r="H4" s="188"/>
      <c r="I4" s="188"/>
      <c r="J4" s="188"/>
      <c r="K4" s="188"/>
      <c r="L4" s="98"/>
      <c r="M4" s="98"/>
    </row>
    <row r="5" spans="1:13" ht="12.75">
      <c r="A5" s="302" t="s">
        <v>78</v>
      </c>
      <c r="B5" s="84" t="s">
        <v>4</v>
      </c>
      <c r="C5" s="85">
        <f>C9+C11+C13</f>
        <v>7846.450000000001</v>
      </c>
      <c r="D5" s="85">
        <f>D9+D11+D13</f>
        <v>7510.52</v>
      </c>
      <c r="E5" s="181">
        <f aca="true" t="shared" si="0" ref="E5:M5">E9+E11+E13</f>
        <v>7919.81208</v>
      </c>
      <c r="F5" s="85">
        <f t="shared" si="0"/>
        <v>7852.14</v>
      </c>
      <c r="G5" s="85">
        <f t="shared" si="0"/>
        <v>8447.109999999999</v>
      </c>
      <c r="H5" s="85">
        <f t="shared" si="0"/>
        <v>8097.68</v>
      </c>
      <c r="I5" s="85">
        <f t="shared" si="0"/>
        <v>8917.81</v>
      </c>
      <c r="J5" s="85">
        <f t="shared" si="0"/>
        <v>8427.64</v>
      </c>
      <c r="K5" s="212">
        <f t="shared" si="0"/>
        <v>9428</v>
      </c>
      <c r="L5" s="212">
        <f t="shared" si="0"/>
        <v>8779.5</v>
      </c>
      <c r="M5" s="212">
        <f t="shared" si="0"/>
        <v>9972.5</v>
      </c>
    </row>
    <row r="6" spans="1:13" ht="12.75">
      <c r="A6" s="302"/>
      <c r="B6" s="84"/>
      <c r="C6" s="85"/>
      <c r="D6" s="85">
        <v>94.2</v>
      </c>
      <c r="E6" s="227">
        <v>108.8</v>
      </c>
      <c r="F6" s="85">
        <v>104.7</v>
      </c>
      <c r="G6" s="85">
        <v>105.1</v>
      </c>
      <c r="H6" s="85">
        <v>103.2</v>
      </c>
      <c r="I6" s="85">
        <v>103.1</v>
      </c>
      <c r="J6" s="85">
        <v>103.1</v>
      </c>
      <c r="K6" s="212">
        <v>103.2</v>
      </c>
      <c r="L6" s="212">
        <v>103.1</v>
      </c>
      <c r="M6" s="212">
        <v>103.2</v>
      </c>
    </row>
    <row r="7" spans="1:13" ht="38.25">
      <c r="A7" s="302"/>
      <c r="B7" s="86" t="s">
        <v>77</v>
      </c>
      <c r="C7" s="85">
        <v>127.7</v>
      </c>
      <c r="D7" s="228">
        <f>D5/C5/0.942*100</f>
        <v>101.61220893178748</v>
      </c>
      <c r="E7" s="228">
        <f>E5/D5/1.088*100</f>
        <v>96.92057333071008</v>
      </c>
      <c r="F7" s="228">
        <f>F5/D5/1.047*100</f>
        <v>99.85535169946226</v>
      </c>
      <c r="G7" s="228">
        <f>G5/E5/1.051*100</f>
        <v>101.48235965312526</v>
      </c>
      <c r="H7" s="228">
        <f>H5/F5/1.032*100</f>
        <v>99.92930777198089</v>
      </c>
      <c r="I7" s="228">
        <f>I5/G5/1.031*100</f>
        <v>102.39798254177327</v>
      </c>
      <c r="J7" s="228">
        <f>J5/H5/1.031*100</f>
        <v>100.94543873427659</v>
      </c>
      <c r="K7" s="229">
        <f>K5/I5/1.032*100</f>
        <v>102.44285216581967</v>
      </c>
      <c r="L7" s="230">
        <f>L5/J5/1.031*100</f>
        <v>101.04274641152261</v>
      </c>
      <c r="M7" s="230">
        <f>M5/K5/1.032*100</f>
        <v>102.49549420660213</v>
      </c>
    </row>
    <row r="8" spans="1:13" ht="12.75">
      <c r="A8" s="87" t="s">
        <v>0</v>
      </c>
      <c r="B8" s="84"/>
      <c r="C8" s="88"/>
      <c r="D8" s="88"/>
      <c r="E8" s="88"/>
      <c r="F8" s="88"/>
      <c r="G8" s="88"/>
      <c r="H8" s="88"/>
      <c r="I8" s="88"/>
      <c r="J8" s="88"/>
      <c r="K8" s="213"/>
      <c r="L8" s="151"/>
      <c r="M8" s="151"/>
    </row>
    <row r="9" spans="1:13" ht="12.75">
      <c r="A9" s="302" t="s">
        <v>79</v>
      </c>
      <c r="B9" s="84" t="s">
        <v>4</v>
      </c>
      <c r="C9" s="172">
        <v>3682.46</v>
      </c>
      <c r="D9" s="172">
        <v>3843.75</v>
      </c>
      <c r="E9" s="172">
        <v>3941.96</v>
      </c>
      <c r="F9" s="172">
        <v>3900</v>
      </c>
      <c r="G9" s="172">
        <v>4233.19</v>
      </c>
      <c r="H9" s="93">
        <v>4087.2</v>
      </c>
      <c r="I9" s="93">
        <f>I19</f>
        <v>4460</v>
      </c>
      <c r="J9" s="94">
        <f>J19</f>
        <v>4291.56</v>
      </c>
      <c r="K9" s="94">
        <f>K19</f>
        <v>4705</v>
      </c>
      <c r="L9" s="225">
        <f>L19</f>
        <v>4511.5</v>
      </c>
      <c r="M9" s="225">
        <f>M19</f>
        <v>4964</v>
      </c>
    </row>
    <row r="10" spans="1:13" ht="38.25">
      <c r="A10" s="302"/>
      <c r="B10" s="86" t="s">
        <v>77</v>
      </c>
      <c r="C10" s="173">
        <v>112.31</v>
      </c>
      <c r="D10" s="173">
        <f aca="true" t="shared" si="1" ref="D10:M10">D22</f>
        <v>110.8067436642585</v>
      </c>
      <c r="E10" s="173">
        <f t="shared" si="1"/>
        <v>94.26016260162602</v>
      </c>
      <c r="F10" s="173">
        <f t="shared" si="1"/>
        <v>94.49432177805402</v>
      </c>
      <c r="G10" s="173">
        <f t="shared" si="1"/>
        <v>102.1769259201248</v>
      </c>
      <c r="H10" s="173">
        <f t="shared" si="1"/>
        <v>101.55038759689923</v>
      </c>
      <c r="I10" s="166">
        <f t="shared" si="1"/>
        <v>102.19000770569939</v>
      </c>
      <c r="J10" s="166">
        <f t="shared" si="1"/>
        <v>101.84287099903008</v>
      </c>
      <c r="K10" s="166">
        <f t="shared" si="1"/>
        <v>102.22216428546598</v>
      </c>
      <c r="L10" s="166">
        <f t="shared" si="1"/>
        <v>101.96405713986658</v>
      </c>
      <c r="M10" s="166">
        <f t="shared" si="1"/>
        <v>102.23331603357799</v>
      </c>
    </row>
    <row r="11" spans="1:13" ht="12.75">
      <c r="A11" s="302" t="s">
        <v>80</v>
      </c>
      <c r="B11" s="84" t="s">
        <v>4</v>
      </c>
      <c r="C11" s="174">
        <v>3632.07</v>
      </c>
      <c r="D11" s="174">
        <v>3121.86</v>
      </c>
      <c r="E11" s="174">
        <f>D11*1.028</f>
        <v>3209.27208</v>
      </c>
      <c r="F11" s="174">
        <v>3166</v>
      </c>
      <c r="G11" s="174">
        <v>3420</v>
      </c>
      <c r="H11" s="174">
        <v>3200</v>
      </c>
      <c r="I11" s="175">
        <v>3635</v>
      </c>
      <c r="J11" s="174">
        <v>3300</v>
      </c>
      <c r="K11" s="214">
        <v>3870</v>
      </c>
      <c r="L11" s="226">
        <f>L26</f>
        <v>3405</v>
      </c>
      <c r="M11" s="226">
        <f>M26</f>
        <v>4123.5</v>
      </c>
    </row>
    <row r="12" spans="1:13" ht="38.25">
      <c r="A12" s="302"/>
      <c r="B12" s="86" t="s">
        <v>77</v>
      </c>
      <c r="C12" s="174">
        <v>121.9</v>
      </c>
      <c r="D12" s="174">
        <f aca="true" t="shared" si="2" ref="D12:K12">D29</f>
        <v>88.24706219507289</v>
      </c>
      <c r="E12" s="174">
        <f t="shared" si="2"/>
        <v>102.39043824701196</v>
      </c>
      <c r="F12" s="174">
        <f t="shared" si="2"/>
        <v>94.94865675186287</v>
      </c>
      <c r="G12" s="174">
        <f t="shared" si="2"/>
        <v>102.46752087350409</v>
      </c>
      <c r="H12" s="174">
        <f t="shared" si="2"/>
        <v>97.65595197768562</v>
      </c>
      <c r="I12" s="175">
        <f t="shared" si="2"/>
        <v>102.59319469845785</v>
      </c>
      <c r="J12" s="174">
        <f t="shared" si="2"/>
        <v>99.6376811594203</v>
      </c>
      <c r="K12" s="214">
        <f t="shared" si="2"/>
        <v>102.66627227254581</v>
      </c>
      <c r="L12" s="167">
        <v>99.7</v>
      </c>
      <c r="M12" s="221">
        <v>102.7</v>
      </c>
    </row>
    <row r="13" spans="1:13" ht="12.75">
      <c r="A13" s="302" t="s">
        <v>81</v>
      </c>
      <c r="B13" s="84" t="s">
        <v>4</v>
      </c>
      <c r="C13" s="176">
        <f aca="true" t="shared" si="3" ref="C13:K13">C33</f>
        <v>531.92</v>
      </c>
      <c r="D13" s="176">
        <f t="shared" si="3"/>
        <v>544.91</v>
      </c>
      <c r="E13" s="182">
        <f t="shared" si="3"/>
        <v>768.58</v>
      </c>
      <c r="F13" s="176">
        <f t="shared" si="3"/>
        <v>786.14</v>
      </c>
      <c r="G13" s="176">
        <f t="shared" si="3"/>
        <v>793.92</v>
      </c>
      <c r="H13" s="176">
        <f t="shared" si="3"/>
        <v>810.48</v>
      </c>
      <c r="I13" s="176">
        <f t="shared" si="3"/>
        <v>822.81</v>
      </c>
      <c r="J13" s="176">
        <f t="shared" si="3"/>
        <v>836.0799999999999</v>
      </c>
      <c r="K13" s="215">
        <f t="shared" si="3"/>
        <v>853</v>
      </c>
      <c r="L13" s="226">
        <f>L33</f>
        <v>863</v>
      </c>
      <c r="M13" s="226">
        <f>M33</f>
        <v>885</v>
      </c>
    </row>
    <row r="14" spans="1:13" ht="38.25">
      <c r="A14" s="302"/>
      <c r="B14" s="86" t="s">
        <v>77</v>
      </c>
      <c r="C14" s="166">
        <f aca="true" t="shared" si="4" ref="C14:K14">C36</f>
        <v>100.45267155534322</v>
      </c>
      <c r="D14" s="166">
        <f t="shared" si="4"/>
        <v>101.42781837215156</v>
      </c>
      <c r="E14" s="166">
        <f t="shared" si="4"/>
        <v>136.6735905040289</v>
      </c>
      <c r="F14" s="166">
        <f t="shared" si="4"/>
        <v>98.35070469617294</v>
      </c>
      <c r="G14" s="166">
        <f t="shared" si="4"/>
        <v>99.32402812779611</v>
      </c>
      <c r="H14" s="166">
        <f t="shared" si="4"/>
        <v>99.13090445819984</v>
      </c>
      <c r="I14" s="166">
        <f t="shared" si="4"/>
        <v>99.6527939261464</v>
      </c>
      <c r="J14" s="166">
        <f t="shared" si="4"/>
        <v>99.19098274147132</v>
      </c>
      <c r="K14" s="216">
        <f t="shared" si="4"/>
        <v>99.68185944413749</v>
      </c>
      <c r="L14" s="187">
        <v>99.2</v>
      </c>
      <c r="M14" s="151">
        <v>99.76</v>
      </c>
    </row>
    <row r="15" spans="1:13" ht="12.75">
      <c r="A15" s="302" t="s">
        <v>82</v>
      </c>
      <c r="B15" s="84" t="s">
        <v>83</v>
      </c>
      <c r="C15" s="85"/>
      <c r="D15" s="89"/>
      <c r="E15" s="89"/>
      <c r="F15" s="89"/>
      <c r="G15" s="89"/>
      <c r="H15" s="89"/>
      <c r="I15" s="89"/>
      <c r="J15" s="89"/>
      <c r="K15" s="213"/>
      <c r="L15" s="151"/>
      <c r="M15" s="151"/>
    </row>
    <row r="16" spans="1:13" ht="25.5">
      <c r="A16" s="302"/>
      <c r="B16" s="84" t="s">
        <v>42</v>
      </c>
      <c r="C16" s="85"/>
      <c r="D16" s="85"/>
      <c r="E16" s="85"/>
      <c r="F16" s="85"/>
      <c r="G16" s="85"/>
      <c r="H16" s="85"/>
      <c r="I16" s="85"/>
      <c r="J16" s="85"/>
      <c r="K16" s="213"/>
      <c r="L16" s="151"/>
      <c r="M16" s="151"/>
    </row>
    <row r="17" spans="1:13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217"/>
      <c r="L17" s="151"/>
      <c r="M17" s="151"/>
    </row>
    <row r="18" spans="1:13" ht="12.75">
      <c r="A18" s="151"/>
      <c r="B18" s="163">
        <v>2017</v>
      </c>
      <c r="C18" s="163">
        <v>2018</v>
      </c>
      <c r="D18" s="163">
        <v>2019</v>
      </c>
      <c r="E18" s="163">
        <v>2020</v>
      </c>
      <c r="F18" s="303">
        <v>2021</v>
      </c>
      <c r="G18" s="303"/>
      <c r="H18" s="303">
        <v>2022</v>
      </c>
      <c r="I18" s="303"/>
      <c r="J18" s="303">
        <v>2023</v>
      </c>
      <c r="K18" s="304"/>
      <c r="L18" s="151"/>
      <c r="M18" s="151"/>
    </row>
    <row r="19" spans="1:13" ht="12.75">
      <c r="A19" s="83" t="s">
        <v>79</v>
      </c>
      <c r="B19" s="164">
        <v>3067.19</v>
      </c>
      <c r="C19" s="92">
        <v>3682.46</v>
      </c>
      <c r="D19" s="92">
        <v>3843.75</v>
      </c>
      <c r="E19" s="92">
        <v>3941.96</v>
      </c>
      <c r="F19" s="92">
        <v>3900</v>
      </c>
      <c r="G19" s="92">
        <v>4233.19</v>
      </c>
      <c r="H19" s="92">
        <v>4087.2</v>
      </c>
      <c r="I19" s="92">
        <v>4460</v>
      </c>
      <c r="J19" s="92">
        <v>4291.56</v>
      </c>
      <c r="K19" s="218">
        <v>4705</v>
      </c>
      <c r="L19" s="151">
        <v>4511.5</v>
      </c>
      <c r="M19" s="151">
        <v>4964</v>
      </c>
    </row>
    <row r="20" spans="1:13" ht="12.75">
      <c r="A20" s="151" t="s">
        <v>117</v>
      </c>
      <c r="B20" s="164"/>
      <c r="C20" s="165">
        <v>106.9</v>
      </c>
      <c r="D20" s="165">
        <v>94.2</v>
      </c>
      <c r="E20" s="165">
        <v>108.8</v>
      </c>
      <c r="F20" s="165">
        <v>104.7</v>
      </c>
      <c r="G20" s="165">
        <v>1.051</v>
      </c>
      <c r="H20" s="165">
        <v>1.032</v>
      </c>
      <c r="I20" s="165">
        <v>103.1</v>
      </c>
      <c r="J20" s="165">
        <v>103.1</v>
      </c>
      <c r="K20" s="219">
        <v>103.2</v>
      </c>
      <c r="L20" s="151">
        <v>103.1</v>
      </c>
      <c r="M20" s="151">
        <v>103.2</v>
      </c>
    </row>
    <row r="21" spans="1:13" ht="12.75">
      <c r="A21" s="151" t="s">
        <v>118</v>
      </c>
      <c r="B21" s="164"/>
      <c r="C21" s="164">
        <f>C19/1.069</f>
        <v>3444.7708138447147</v>
      </c>
      <c r="D21" s="164">
        <f>D19/0.942</f>
        <v>4080.4140127388537</v>
      </c>
      <c r="E21" s="164">
        <f>E19/1.088</f>
        <v>3623.125</v>
      </c>
      <c r="F21" s="164">
        <f>F19/1.047</f>
        <v>3724.928366762178</v>
      </c>
      <c r="G21" s="164">
        <f>G19/1.051</f>
        <v>4027.7735490009513</v>
      </c>
      <c r="H21" s="164">
        <f>H19/1.032</f>
        <v>3960.4651162790697</v>
      </c>
      <c r="I21" s="164">
        <f>I19/1.031</f>
        <v>4325.897187196897</v>
      </c>
      <c r="J21" s="164">
        <f>J19/1.031</f>
        <v>4162.521823472358</v>
      </c>
      <c r="K21" s="220">
        <f>K19/1.031</f>
        <v>4563.5305528613</v>
      </c>
      <c r="L21" s="220">
        <f>L19/1.031</f>
        <v>4375.848690591659</v>
      </c>
      <c r="M21" s="220">
        <f>M19/1.031</f>
        <v>4814.742967992241</v>
      </c>
    </row>
    <row r="22" spans="1:13" ht="12.75">
      <c r="A22" s="151" t="s">
        <v>119</v>
      </c>
      <c r="B22" s="164"/>
      <c r="C22" s="166">
        <f>C21/B19*100</f>
        <v>112.31031706039451</v>
      </c>
      <c r="D22" s="166">
        <f>D21/C19*100</f>
        <v>110.8067436642585</v>
      </c>
      <c r="E22" s="166">
        <f>E21/D19*100</f>
        <v>94.26016260162602</v>
      </c>
      <c r="F22" s="166">
        <f>F21/E19*100</f>
        <v>94.49432177805402</v>
      </c>
      <c r="G22" s="166">
        <f>G21/E19*100</f>
        <v>102.1769259201248</v>
      </c>
      <c r="H22" s="166">
        <f>H19/F19/H20*100</f>
        <v>101.55038759689923</v>
      </c>
      <c r="I22" s="166">
        <f>I19/G19/I20*100*100</f>
        <v>102.19000770569939</v>
      </c>
      <c r="J22" s="166">
        <f>J19/H19/J20*100*100</f>
        <v>101.84287099903008</v>
      </c>
      <c r="K22" s="166">
        <f>K19/I19/K20*100*100</f>
        <v>102.22216428546598</v>
      </c>
      <c r="L22" s="166">
        <f>L19/J19/L20*100*100</f>
        <v>101.96405713986658</v>
      </c>
      <c r="M22" s="166">
        <f>M19/K19/M20*100*100</f>
        <v>102.23331603357799</v>
      </c>
    </row>
    <row r="23" spans="1:13" ht="12.75">
      <c r="A23" s="151"/>
      <c r="B23" s="164"/>
      <c r="C23" s="151"/>
      <c r="D23" s="151"/>
      <c r="E23" s="151"/>
      <c r="F23" s="151"/>
      <c r="G23" s="151"/>
      <c r="H23" s="151"/>
      <c r="I23" s="151"/>
      <c r="J23" s="151"/>
      <c r="K23" s="217"/>
      <c r="L23" s="151"/>
      <c r="M23" s="151"/>
    </row>
    <row r="24" spans="1:13" ht="12.75">
      <c r="A24" s="151"/>
      <c r="B24" s="164"/>
      <c r="C24" s="151"/>
      <c r="D24" s="151"/>
      <c r="E24" s="151"/>
      <c r="F24" s="151"/>
      <c r="G24" s="151"/>
      <c r="H24" s="151"/>
      <c r="I24" s="151"/>
      <c r="J24" s="151"/>
      <c r="K24" s="217"/>
      <c r="L24" s="151"/>
      <c r="M24" s="151"/>
    </row>
    <row r="25" spans="1:13" ht="12.75">
      <c r="A25" s="151"/>
      <c r="B25" s="164"/>
      <c r="C25" s="151"/>
      <c r="D25" s="151"/>
      <c r="E25" s="151"/>
      <c r="F25" s="151"/>
      <c r="G25" s="151"/>
      <c r="H25" s="151"/>
      <c r="I25" s="151"/>
      <c r="J25" s="151"/>
      <c r="K25" s="217"/>
      <c r="L25" s="151"/>
      <c r="M25" s="151"/>
    </row>
    <row r="26" spans="1:13" ht="12.75">
      <c r="A26" s="151" t="s">
        <v>80</v>
      </c>
      <c r="B26" s="164">
        <v>2653.89</v>
      </c>
      <c r="C26" s="167">
        <v>3632.07</v>
      </c>
      <c r="D26" s="167">
        <v>3121.86</v>
      </c>
      <c r="E26" s="167">
        <f>D26*1.028</f>
        <v>3209.27208</v>
      </c>
      <c r="F26" s="167">
        <v>3166</v>
      </c>
      <c r="G26" s="167">
        <v>3420</v>
      </c>
      <c r="H26" s="167">
        <v>3200</v>
      </c>
      <c r="I26" s="168">
        <v>3635</v>
      </c>
      <c r="J26" s="167">
        <v>3300</v>
      </c>
      <c r="K26" s="221">
        <v>3870</v>
      </c>
      <c r="L26" s="151">
        <v>3405</v>
      </c>
      <c r="M26" s="151">
        <v>4123.5</v>
      </c>
    </row>
    <row r="27" spans="1:13" ht="12.75">
      <c r="A27" s="151" t="s">
        <v>117</v>
      </c>
      <c r="B27" s="164"/>
      <c r="C27" s="164">
        <v>112.3</v>
      </c>
      <c r="D27" s="164">
        <v>97.4</v>
      </c>
      <c r="E27" s="164">
        <v>100.4</v>
      </c>
      <c r="F27" s="164">
        <v>103.9</v>
      </c>
      <c r="G27" s="164">
        <v>104</v>
      </c>
      <c r="H27" s="164">
        <v>103.5</v>
      </c>
      <c r="I27" s="169">
        <v>103.6</v>
      </c>
      <c r="J27" s="164">
        <v>103.5</v>
      </c>
      <c r="K27" s="220">
        <v>103.7</v>
      </c>
      <c r="L27" s="164">
        <v>103.5</v>
      </c>
      <c r="M27" s="220">
        <v>103.7</v>
      </c>
    </row>
    <row r="28" spans="1:13" ht="12.75">
      <c r="A28" s="151" t="s">
        <v>118</v>
      </c>
      <c r="B28" s="164"/>
      <c r="C28" s="166">
        <f>C26/1.123</f>
        <v>3234.2564559216385</v>
      </c>
      <c r="D28" s="166">
        <f>D26/0.974</f>
        <v>3205.1950718685835</v>
      </c>
      <c r="E28" s="166">
        <f>E26/1.004</f>
        <v>3196.4861354581676</v>
      </c>
      <c r="F28" s="166">
        <f>F26/1.039</f>
        <v>3047.16073147257</v>
      </c>
      <c r="G28" s="166">
        <f>G26/1.04</f>
        <v>3288.4615384615386</v>
      </c>
      <c r="H28" s="166">
        <f>H26/1.035</f>
        <v>3091.7874396135267</v>
      </c>
      <c r="I28" s="170">
        <f>I26/1.036</f>
        <v>3508.6872586872587</v>
      </c>
      <c r="J28" s="166">
        <f>J26/1.035</f>
        <v>3188.4057971014495</v>
      </c>
      <c r="K28" s="216">
        <f>K26/1.037</f>
        <v>3731.91899710704</v>
      </c>
      <c r="L28" s="166">
        <f>L26/1.035</f>
        <v>3289.8550724637685</v>
      </c>
      <c r="M28" s="216">
        <f>M26/1.037</f>
        <v>3976.374156219865</v>
      </c>
    </row>
    <row r="29" spans="1:13" ht="12.75">
      <c r="A29" s="151" t="s">
        <v>119</v>
      </c>
      <c r="B29" s="164"/>
      <c r="C29" s="167">
        <f>C28/B26*100</f>
        <v>121.86851964179519</v>
      </c>
      <c r="D29" s="167">
        <f>D28/C26*100</f>
        <v>88.24706219507289</v>
      </c>
      <c r="E29" s="167">
        <f>E28/D26*100</f>
        <v>102.39043824701196</v>
      </c>
      <c r="F29" s="167">
        <f>F28/E26*100</f>
        <v>94.94865675186287</v>
      </c>
      <c r="G29" s="167">
        <f aca="true" t="shared" si="5" ref="G29:M29">G28/E26*100</f>
        <v>102.46752087350409</v>
      </c>
      <c r="H29" s="167">
        <f t="shared" si="5"/>
        <v>97.65595197768562</v>
      </c>
      <c r="I29" s="168">
        <f t="shared" si="5"/>
        <v>102.59319469845785</v>
      </c>
      <c r="J29" s="167">
        <f t="shared" si="5"/>
        <v>99.6376811594203</v>
      </c>
      <c r="K29" s="221">
        <f t="shared" si="5"/>
        <v>102.66627227254581</v>
      </c>
      <c r="L29" s="167">
        <f t="shared" si="5"/>
        <v>99.69257795344753</v>
      </c>
      <c r="M29" s="221">
        <f t="shared" si="5"/>
        <v>102.74868620723166</v>
      </c>
    </row>
    <row r="30" spans="1:13" ht="12.75">
      <c r="A30" s="151"/>
      <c r="B30" s="164"/>
      <c r="C30" s="151"/>
      <c r="D30" s="151"/>
      <c r="E30" s="151"/>
      <c r="F30" s="151"/>
      <c r="G30" s="151"/>
      <c r="H30" s="151"/>
      <c r="I30" s="151"/>
      <c r="J30" s="151"/>
      <c r="K30" s="217"/>
      <c r="L30" s="151"/>
      <c r="M30" s="151"/>
    </row>
    <row r="31" spans="1:13" ht="12.75">
      <c r="A31" s="151"/>
      <c r="B31" s="164"/>
      <c r="C31" s="151"/>
      <c r="D31" s="151"/>
      <c r="E31" s="151"/>
      <c r="F31" s="151"/>
      <c r="G31" s="151"/>
      <c r="H31" s="151"/>
      <c r="I31" s="151"/>
      <c r="J31" s="151"/>
      <c r="K31" s="217"/>
      <c r="L31" s="151"/>
      <c r="M31" s="151"/>
    </row>
    <row r="32" spans="1:13" ht="12.75">
      <c r="A32" s="151"/>
      <c r="B32" s="164"/>
      <c r="C32" s="151"/>
      <c r="D32" s="151"/>
      <c r="E32" s="151"/>
      <c r="F32" s="151"/>
      <c r="G32" s="151"/>
      <c r="H32" s="151"/>
      <c r="I32" s="151"/>
      <c r="J32" s="151"/>
      <c r="K32" s="217"/>
      <c r="L32" s="151"/>
      <c r="M32" s="151"/>
    </row>
    <row r="33" spans="1:13" ht="12.75">
      <c r="A33" s="151" t="s">
        <v>81</v>
      </c>
      <c r="B33" s="177">
        <v>514.1</v>
      </c>
      <c r="C33" s="178">
        <v>531.92</v>
      </c>
      <c r="D33" s="178">
        <v>544.91</v>
      </c>
      <c r="E33" s="178">
        <f>E40+E45</f>
        <v>768.58</v>
      </c>
      <c r="F33" s="178">
        <f aca="true" t="shared" si="6" ref="F33:K33">F40+F45</f>
        <v>786.14</v>
      </c>
      <c r="G33" s="178">
        <f t="shared" si="6"/>
        <v>793.92</v>
      </c>
      <c r="H33" s="178">
        <f t="shared" si="6"/>
        <v>810.48</v>
      </c>
      <c r="I33" s="178">
        <f t="shared" si="6"/>
        <v>822.81</v>
      </c>
      <c r="J33" s="178">
        <f t="shared" si="6"/>
        <v>836.0799999999999</v>
      </c>
      <c r="K33" s="222">
        <f t="shared" si="6"/>
        <v>853</v>
      </c>
      <c r="L33" s="151">
        <v>863</v>
      </c>
      <c r="M33" s="151">
        <v>885</v>
      </c>
    </row>
    <row r="34" spans="1:13" ht="12.75">
      <c r="A34" s="151" t="s">
        <v>117</v>
      </c>
      <c r="B34" s="151"/>
      <c r="C34" s="164">
        <v>103</v>
      </c>
      <c r="D34" s="164">
        <v>101</v>
      </c>
      <c r="E34" s="164">
        <v>103.2</v>
      </c>
      <c r="F34" s="164">
        <v>104</v>
      </c>
      <c r="G34" s="164">
        <v>104</v>
      </c>
      <c r="H34" s="164">
        <v>104</v>
      </c>
      <c r="I34" s="164">
        <v>104</v>
      </c>
      <c r="J34" s="164">
        <v>104</v>
      </c>
      <c r="K34" s="220">
        <v>104</v>
      </c>
      <c r="L34" s="151">
        <v>104</v>
      </c>
      <c r="M34" s="151">
        <v>104</v>
      </c>
    </row>
    <row r="35" spans="1:13" ht="12.75">
      <c r="A35" s="151" t="s">
        <v>118</v>
      </c>
      <c r="B35" s="151"/>
      <c r="C35" s="164">
        <f>C33/1.03</f>
        <v>516.4271844660194</v>
      </c>
      <c r="D35" s="164">
        <f>D33/1.01</f>
        <v>539.5148514851485</v>
      </c>
      <c r="E35" s="164">
        <f>E33/1.032</f>
        <v>744.7480620155039</v>
      </c>
      <c r="F35" s="164">
        <f aca="true" t="shared" si="7" ref="F35:M35">F33/1.04</f>
        <v>755.9038461538461</v>
      </c>
      <c r="G35" s="164">
        <f t="shared" si="7"/>
        <v>763.3846153846154</v>
      </c>
      <c r="H35" s="164">
        <f t="shared" si="7"/>
        <v>779.3076923076923</v>
      </c>
      <c r="I35" s="164">
        <f t="shared" si="7"/>
        <v>791.1634615384614</v>
      </c>
      <c r="J35" s="164">
        <f t="shared" si="7"/>
        <v>803.9230769230768</v>
      </c>
      <c r="K35" s="220">
        <f t="shared" si="7"/>
        <v>820.1923076923076</v>
      </c>
      <c r="L35" s="164">
        <f t="shared" si="7"/>
        <v>829.8076923076923</v>
      </c>
      <c r="M35" s="220">
        <f t="shared" si="7"/>
        <v>850.9615384615385</v>
      </c>
    </row>
    <row r="36" spans="1:13" ht="12.75">
      <c r="A36" s="151" t="s">
        <v>119</v>
      </c>
      <c r="B36" s="151"/>
      <c r="C36" s="171">
        <f>C35/B33*100</f>
        <v>100.45267155534322</v>
      </c>
      <c r="D36" s="171">
        <f>D35/C33*100</f>
        <v>101.42781837215156</v>
      </c>
      <c r="E36" s="171">
        <f>E35/D33*100</f>
        <v>136.6735905040289</v>
      </c>
      <c r="F36" s="171">
        <f>F35/E33*100</f>
        <v>98.35070469617294</v>
      </c>
      <c r="G36" s="171">
        <f>G35/E33*100</f>
        <v>99.32402812779611</v>
      </c>
      <c r="H36" s="171">
        <f>H35/F33*100</f>
        <v>99.13090445819984</v>
      </c>
      <c r="I36" s="171">
        <f>I35/G33*100</f>
        <v>99.6527939261464</v>
      </c>
      <c r="J36" s="171">
        <f>J35/H33*100</f>
        <v>99.19098274147132</v>
      </c>
      <c r="K36" s="223">
        <f>K35/I33*100</f>
        <v>99.68185944413749</v>
      </c>
      <c r="L36" s="187">
        <v>99.2</v>
      </c>
      <c r="M36" s="151">
        <v>99.76</v>
      </c>
    </row>
    <row r="37" spans="1:13" ht="12.7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217"/>
      <c r="L37" s="151"/>
      <c r="M37" s="151"/>
    </row>
    <row r="38" spans="1:13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51"/>
      <c r="M38" s="151"/>
    </row>
    <row r="39" spans="1:13" ht="12.75">
      <c r="A39" s="114"/>
      <c r="B39" s="114"/>
      <c r="C39" s="114"/>
      <c r="D39" s="114"/>
      <c r="E39" s="114"/>
      <c r="F39" s="114"/>
      <c r="G39" s="114"/>
      <c r="H39" s="114"/>
      <c r="I39" s="114"/>
      <c r="J39" s="124"/>
      <c r="K39" s="114"/>
      <c r="L39" s="151"/>
      <c r="M39" s="151"/>
    </row>
    <row r="40" spans="1:13" ht="12.75">
      <c r="A40" s="114" t="s">
        <v>151</v>
      </c>
      <c r="B40" s="114"/>
      <c r="C40" s="114">
        <v>457.83</v>
      </c>
      <c r="D40" s="114">
        <v>469.94</v>
      </c>
      <c r="E40" s="180">
        <v>691.13</v>
      </c>
      <c r="F40" s="114">
        <v>706.37</v>
      </c>
      <c r="G40" s="114">
        <v>713.37</v>
      </c>
      <c r="H40" s="114">
        <v>728</v>
      </c>
      <c r="I40" s="114">
        <v>737.43</v>
      </c>
      <c r="J40" s="114">
        <v>750.3</v>
      </c>
      <c r="K40" s="114">
        <v>762.5</v>
      </c>
      <c r="L40" s="151">
        <f>L33-L45</f>
        <v>773.65</v>
      </c>
      <c r="M40" s="151">
        <f>M33-M45</f>
        <v>789</v>
      </c>
    </row>
    <row r="41" spans="1:13" ht="12.75">
      <c r="A41" s="151" t="s">
        <v>117</v>
      </c>
      <c r="B41" s="114"/>
      <c r="C41" s="114"/>
      <c r="D41" s="114">
        <v>101</v>
      </c>
      <c r="E41" s="114">
        <v>103.2</v>
      </c>
      <c r="F41" s="114">
        <v>104</v>
      </c>
      <c r="G41" s="114">
        <v>104</v>
      </c>
      <c r="H41" s="114">
        <v>104</v>
      </c>
      <c r="I41" s="114">
        <v>104</v>
      </c>
      <c r="J41" s="114">
        <v>104</v>
      </c>
      <c r="K41" s="114">
        <v>104</v>
      </c>
      <c r="L41" s="151">
        <v>104</v>
      </c>
      <c r="M41" s="151">
        <v>104</v>
      </c>
    </row>
    <row r="42" spans="1:13" ht="12.75">
      <c r="A42" s="151" t="s">
        <v>118</v>
      </c>
      <c r="B42" s="114"/>
      <c r="C42" s="114"/>
      <c r="D42" s="164">
        <f>D40/1.01</f>
        <v>465.28712871287127</v>
      </c>
      <c r="E42" s="164">
        <f>E40/1.032</f>
        <v>669.6996124031008</v>
      </c>
      <c r="F42" s="164">
        <f aca="true" t="shared" si="8" ref="F42:M42">F40/1.04</f>
        <v>679.2019230769231</v>
      </c>
      <c r="G42" s="164">
        <f t="shared" si="8"/>
        <v>685.9326923076923</v>
      </c>
      <c r="H42" s="164">
        <f t="shared" si="8"/>
        <v>700</v>
      </c>
      <c r="I42" s="164">
        <f t="shared" si="8"/>
        <v>709.0673076923076</v>
      </c>
      <c r="J42" s="164">
        <f t="shared" si="8"/>
        <v>721.4423076923076</v>
      </c>
      <c r="K42" s="220">
        <f t="shared" si="8"/>
        <v>733.1730769230769</v>
      </c>
      <c r="L42" s="220">
        <f t="shared" si="8"/>
        <v>743.8942307692307</v>
      </c>
      <c r="M42" s="220">
        <f t="shared" si="8"/>
        <v>758.6538461538461</v>
      </c>
    </row>
    <row r="43" spans="1:13" ht="12.75">
      <c r="A43" s="151" t="s">
        <v>119</v>
      </c>
      <c r="B43" s="114"/>
      <c r="C43" s="114" t="s">
        <v>153</v>
      </c>
      <c r="D43" s="171">
        <f>D42/C40*100</f>
        <v>101.62879861801788</v>
      </c>
      <c r="E43" s="171">
        <f>E42/D40*100</f>
        <v>142.5074716778952</v>
      </c>
      <c r="F43" s="171">
        <f>F42/E40*100</f>
        <v>98.27411964130093</v>
      </c>
      <c r="G43" s="171">
        <f aca="true" t="shared" si="9" ref="G43:M43">G42/E40*100</f>
        <v>99.24799853973815</v>
      </c>
      <c r="H43" s="171">
        <f t="shared" si="9"/>
        <v>99.09820632246557</v>
      </c>
      <c r="I43" s="171">
        <f t="shared" si="9"/>
        <v>99.39684983841592</v>
      </c>
      <c r="J43" s="171">
        <f t="shared" si="9"/>
        <v>99.09921808960269</v>
      </c>
      <c r="K43" s="223">
        <f t="shared" si="9"/>
        <v>99.42273530003891</v>
      </c>
      <c r="L43" s="171">
        <f t="shared" si="9"/>
        <v>99.14623894032131</v>
      </c>
      <c r="M43" s="223">
        <f t="shared" si="9"/>
        <v>99.49558638083226</v>
      </c>
    </row>
    <row r="44" spans="1:13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51"/>
      <c r="M44" s="151"/>
    </row>
    <row r="45" spans="1:13" ht="12.75">
      <c r="A45" s="124" t="s">
        <v>152</v>
      </c>
      <c r="B45" s="114"/>
      <c r="C45" s="114">
        <v>73.34</v>
      </c>
      <c r="D45" s="114">
        <v>74.97</v>
      </c>
      <c r="E45" s="114">
        <v>77.45</v>
      </c>
      <c r="F45" s="124">
        <v>79.77</v>
      </c>
      <c r="G45" s="124">
        <v>80.55</v>
      </c>
      <c r="H45" s="124">
        <v>82.48</v>
      </c>
      <c r="I45" s="124">
        <v>85.38</v>
      </c>
      <c r="J45" s="124">
        <v>85.78</v>
      </c>
      <c r="K45" s="124">
        <v>90.5</v>
      </c>
      <c r="L45" s="151">
        <v>89.35</v>
      </c>
      <c r="M45" s="151">
        <v>96</v>
      </c>
    </row>
    <row r="46" spans="1:13" ht="12.75">
      <c r="A46" s="151" t="s">
        <v>117</v>
      </c>
      <c r="B46" s="114"/>
      <c r="C46" s="114"/>
      <c r="D46" s="114">
        <v>100.3</v>
      </c>
      <c r="E46" s="114">
        <v>104</v>
      </c>
      <c r="F46" s="114">
        <v>104</v>
      </c>
      <c r="G46" s="114">
        <v>104</v>
      </c>
      <c r="H46" s="114">
        <v>104</v>
      </c>
      <c r="I46" s="114">
        <v>104</v>
      </c>
      <c r="J46" s="114">
        <v>104</v>
      </c>
      <c r="K46" s="114">
        <v>104</v>
      </c>
      <c r="L46" s="151">
        <v>104</v>
      </c>
      <c r="M46" s="151">
        <v>104</v>
      </c>
    </row>
    <row r="47" spans="1:13" ht="12.75">
      <c r="A47" s="151" t="s">
        <v>118</v>
      </c>
      <c r="B47" s="114"/>
      <c r="C47" s="114"/>
      <c r="D47" s="164">
        <f>D45/1.01</f>
        <v>74.22772277227723</v>
      </c>
      <c r="E47" s="164">
        <f>E45/1.032</f>
        <v>75.0484496124031</v>
      </c>
      <c r="F47" s="164">
        <f aca="true" t="shared" si="10" ref="F47:M47">F45/1.04</f>
        <v>76.70192307692307</v>
      </c>
      <c r="G47" s="164">
        <f t="shared" si="10"/>
        <v>77.45192307692307</v>
      </c>
      <c r="H47" s="164">
        <f t="shared" si="10"/>
        <v>79.3076923076923</v>
      </c>
      <c r="I47" s="164">
        <f t="shared" si="10"/>
        <v>82.09615384615384</v>
      </c>
      <c r="J47" s="164">
        <f t="shared" si="10"/>
        <v>82.48076923076923</v>
      </c>
      <c r="K47" s="220">
        <f t="shared" si="10"/>
        <v>87.01923076923076</v>
      </c>
      <c r="L47" s="220">
        <f t="shared" si="10"/>
        <v>85.91346153846153</v>
      </c>
      <c r="M47" s="220">
        <f t="shared" si="10"/>
        <v>92.3076923076923</v>
      </c>
    </row>
    <row r="48" spans="1:13" ht="12.75">
      <c r="A48" s="151" t="s">
        <v>119</v>
      </c>
      <c r="B48" s="114"/>
      <c r="C48" s="114" t="s">
        <v>153</v>
      </c>
      <c r="D48" s="171">
        <v>100.92</v>
      </c>
      <c r="E48" s="179">
        <f>E47/D45*100</f>
        <v>100.10464133974004</v>
      </c>
      <c r="F48" s="179">
        <f>F47/E45*100</f>
        <v>99.03411630332222</v>
      </c>
      <c r="G48" s="179">
        <f aca="true" t="shared" si="11" ref="G48:M48">G47/E45*100</f>
        <v>100.00248299150816</v>
      </c>
      <c r="H48" s="179">
        <f t="shared" si="11"/>
        <v>99.42044917599637</v>
      </c>
      <c r="I48" s="179">
        <f t="shared" si="11"/>
        <v>101.91949577424437</v>
      </c>
      <c r="J48" s="179">
        <f t="shared" si="11"/>
        <v>100.00093262702379</v>
      </c>
      <c r="K48" s="224">
        <f t="shared" si="11"/>
        <v>101.91992359947383</v>
      </c>
      <c r="L48" s="179">
        <f t="shared" si="11"/>
        <v>100.1555858457234</v>
      </c>
      <c r="M48" s="224">
        <f t="shared" si="11"/>
        <v>101.9974500637484</v>
      </c>
    </row>
    <row r="49" spans="1:11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2" spans="8:9" ht="12.75">
      <c r="H52" s="298">
        <v>2022</v>
      </c>
      <c r="I52" s="298"/>
    </row>
    <row r="53" spans="3:11" ht="12.75">
      <c r="C53">
        <v>2018</v>
      </c>
      <c r="D53">
        <v>2019</v>
      </c>
      <c r="E53">
        <v>2020</v>
      </c>
      <c r="F53" s="297">
        <v>2021</v>
      </c>
      <c r="G53" s="297"/>
      <c r="H53" s="297"/>
      <c r="I53" s="297"/>
      <c r="J53" s="297">
        <v>2023</v>
      </c>
      <c r="K53" s="297"/>
    </row>
    <row r="54" spans="1:11" ht="37.5">
      <c r="A54" s="11" t="s">
        <v>73</v>
      </c>
      <c r="B54" s="10" t="s">
        <v>70</v>
      </c>
      <c r="C54" s="97">
        <v>479</v>
      </c>
      <c r="D54" s="97">
        <v>589</v>
      </c>
      <c r="E54" s="97">
        <v>1236</v>
      </c>
      <c r="F54" s="97">
        <v>1236</v>
      </c>
      <c r="G54" s="97">
        <v>824</v>
      </c>
      <c r="H54" s="97">
        <v>1030</v>
      </c>
      <c r="I54" s="97">
        <v>721</v>
      </c>
      <c r="J54" s="97">
        <v>927</v>
      </c>
      <c r="K54" s="97">
        <v>617</v>
      </c>
    </row>
    <row r="55" spans="1:11" ht="12.75">
      <c r="A55" t="s">
        <v>121</v>
      </c>
      <c r="C55">
        <v>23200</v>
      </c>
      <c r="D55">
        <v>23046</v>
      </c>
      <c r="E55">
        <v>21949</v>
      </c>
      <c r="F55">
        <v>21625</v>
      </c>
      <c r="G55">
        <v>21730</v>
      </c>
      <c r="H55">
        <v>21425</v>
      </c>
      <c r="I55">
        <v>21512</v>
      </c>
      <c r="J55">
        <v>21168</v>
      </c>
      <c r="K55">
        <v>21297</v>
      </c>
    </row>
    <row r="56" spans="1:11" ht="12.75">
      <c r="A56" t="s">
        <v>122</v>
      </c>
      <c r="C56" s="96">
        <f>C54/C55*100</f>
        <v>2.064655172413793</v>
      </c>
      <c r="D56" s="96">
        <f aca="true" t="shared" si="12" ref="D56:K56">D54/D55*100</f>
        <v>2.5557580491191527</v>
      </c>
      <c r="E56" s="96">
        <f t="shared" si="12"/>
        <v>5.631236047200328</v>
      </c>
      <c r="F56" s="96">
        <f t="shared" si="12"/>
        <v>5.715606936416185</v>
      </c>
      <c r="G56" s="96">
        <f t="shared" si="12"/>
        <v>3.7919926369075014</v>
      </c>
      <c r="H56" s="96">
        <f t="shared" si="12"/>
        <v>4.807467911318553</v>
      </c>
      <c r="I56" s="96">
        <f t="shared" si="12"/>
        <v>3.3516177017478617</v>
      </c>
      <c r="J56" s="96">
        <f t="shared" si="12"/>
        <v>4.379251700680272</v>
      </c>
      <c r="K56" s="96">
        <f t="shared" si="12"/>
        <v>2.8971216603277457</v>
      </c>
    </row>
    <row r="63" spans="1:11" ht="12.75">
      <c r="A63" t="s">
        <v>126</v>
      </c>
      <c r="C63">
        <v>4.2513</v>
      </c>
      <c r="D63">
        <v>4.2082</v>
      </c>
      <c r="E63">
        <v>4.1623</v>
      </c>
      <c r="F63">
        <v>4.1167</v>
      </c>
      <c r="G63">
        <v>4.1209</v>
      </c>
      <c r="H63">
        <v>4.0727</v>
      </c>
      <c r="I63">
        <v>4.0799</v>
      </c>
      <c r="J63">
        <v>4.0308</v>
      </c>
      <c r="K63">
        <v>4.0415</v>
      </c>
    </row>
    <row r="64" spans="1:11" ht="12.75">
      <c r="A64" s="90" t="s">
        <v>123</v>
      </c>
      <c r="C64">
        <f>C65+C66</f>
        <v>304</v>
      </c>
      <c r="D64">
        <f aca="true" t="shared" si="13" ref="D64:K64">D65+D66</f>
        <v>291</v>
      </c>
      <c r="E64">
        <f t="shared" si="13"/>
        <v>281</v>
      </c>
      <c r="F64">
        <f t="shared" si="13"/>
        <v>251</v>
      </c>
      <c r="G64">
        <f t="shared" si="13"/>
        <v>251</v>
      </c>
      <c r="H64">
        <f t="shared" si="13"/>
        <v>251</v>
      </c>
      <c r="I64">
        <f t="shared" si="13"/>
        <v>281</v>
      </c>
      <c r="J64">
        <f t="shared" si="13"/>
        <v>251</v>
      </c>
      <c r="K64">
        <f t="shared" si="13"/>
        <v>251</v>
      </c>
    </row>
    <row r="65" spans="1:11" ht="12.75">
      <c r="A65" t="s">
        <v>124</v>
      </c>
      <c r="C65">
        <v>203</v>
      </c>
      <c r="D65">
        <v>190</v>
      </c>
      <c r="E65">
        <v>180</v>
      </c>
      <c r="F65">
        <v>150</v>
      </c>
      <c r="G65">
        <v>150</v>
      </c>
      <c r="H65">
        <v>150</v>
      </c>
      <c r="I65">
        <v>180</v>
      </c>
      <c r="J65">
        <v>150</v>
      </c>
      <c r="K65">
        <v>150</v>
      </c>
    </row>
    <row r="66" spans="1:11" ht="12.75">
      <c r="A66" t="s">
        <v>125</v>
      </c>
      <c r="C66">
        <v>101</v>
      </c>
      <c r="D66">
        <v>101</v>
      </c>
      <c r="E66">
        <v>101</v>
      </c>
      <c r="F66">
        <v>101</v>
      </c>
      <c r="G66">
        <v>101</v>
      </c>
      <c r="H66">
        <v>101</v>
      </c>
      <c r="I66">
        <v>101</v>
      </c>
      <c r="J66">
        <v>101</v>
      </c>
      <c r="K66">
        <v>101</v>
      </c>
    </row>
    <row r="67" spans="1:11" ht="12.75">
      <c r="A67" t="s">
        <v>127</v>
      </c>
      <c r="C67" s="99">
        <f>C64/C63</f>
        <v>71.50753887046316</v>
      </c>
      <c r="D67" s="99">
        <f aca="true" t="shared" si="14" ref="D67:K67">D64/D63</f>
        <v>69.15070576493513</v>
      </c>
      <c r="E67" s="99">
        <f t="shared" si="14"/>
        <v>67.51075126732816</v>
      </c>
      <c r="F67" s="99">
        <f t="shared" si="14"/>
        <v>60.971166225374695</v>
      </c>
      <c r="G67" s="99">
        <f t="shared" si="14"/>
        <v>60.90902472760805</v>
      </c>
      <c r="H67" s="99">
        <f t="shared" si="14"/>
        <v>61.62987698578338</v>
      </c>
      <c r="I67" s="99">
        <f t="shared" si="14"/>
        <v>68.87423711365474</v>
      </c>
      <c r="J67" s="99">
        <f t="shared" si="14"/>
        <v>62.27051701895405</v>
      </c>
      <c r="K67" s="99">
        <f t="shared" si="14"/>
        <v>62.10565384139552</v>
      </c>
    </row>
    <row r="70" spans="1:11" ht="12.75">
      <c r="A70" s="90" t="s">
        <v>128</v>
      </c>
      <c r="C70">
        <v>9</v>
      </c>
      <c r="D70">
        <v>9</v>
      </c>
      <c r="E70">
        <v>9</v>
      </c>
      <c r="F70">
        <v>9</v>
      </c>
      <c r="G70">
        <v>9</v>
      </c>
      <c r="H70">
        <v>9</v>
      </c>
      <c r="I70">
        <v>9</v>
      </c>
      <c r="J70">
        <v>9</v>
      </c>
      <c r="K70">
        <v>9</v>
      </c>
    </row>
    <row r="71" spans="1:11" ht="12.75">
      <c r="A71" t="s">
        <v>126</v>
      </c>
      <c r="B71" t="s">
        <v>130</v>
      </c>
      <c r="C71" s="103">
        <v>4.2513</v>
      </c>
      <c r="D71" s="103">
        <v>4.2082</v>
      </c>
      <c r="E71" s="103">
        <v>4.1623</v>
      </c>
      <c r="F71" s="103">
        <v>4.1167</v>
      </c>
      <c r="G71" s="103">
        <v>4.1209</v>
      </c>
      <c r="H71" s="103">
        <v>4.0727</v>
      </c>
      <c r="I71" s="103">
        <v>4.0799</v>
      </c>
      <c r="J71" s="103">
        <v>4.0308</v>
      </c>
      <c r="K71" s="103">
        <v>4.0415</v>
      </c>
    </row>
    <row r="72" spans="2:11" ht="12.75">
      <c r="B72" t="s">
        <v>129</v>
      </c>
      <c r="C72">
        <f>C71/10</f>
        <v>0.42512999999999995</v>
      </c>
      <c r="D72">
        <f aca="true" t="shared" si="15" ref="D72:K72">D71/10</f>
        <v>0.42081999999999997</v>
      </c>
      <c r="E72">
        <f t="shared" si="15"/>
        <v>0.41623</v>
      </c>
      <c r="F72">
        <f t="shared" si="15"/>
        <v>0.41167</v>
      </c>
      <c r="G72">
        <f t="shared" si="15"/>
        <v>0.41208999999999996</v>
      </c>
      <c r="H72">
        <f t="shared" si="15"/>
        <v>0.40727</v>
      </c>
      <c r="I72">
        <f t="shared" si="15"/>
        <v>0.40799</v>
      </c>
      <c r="J72">
        <f t="shared" si="15"/>
        <v>0.40308</v>
      </c>
      <c r="K72">
        <f t="shared" si="15"/>
        <v>0.40415</v>
      </c>
    </row>
    <row r="73" spans="1:11" ht="12.75">
      <c r="A73" t="s">
        <v>131</v>
      </c>
      <c r="C73" s="99">
        <f>C70/C72</f>
        <v>21.16999506033449</v>
      </c>
      <c r="D73" s="99">
        <f aca="true" t="shared" si="16" ref="D73:K73">D70/D72</f>
        <v>21.386816215959318</v>
      </c>
      <c r="E73" s="99">
        <f t="shared" si="16"/>
        <v>21.622660548254572</v>
      </c>
      <c r="F73" s="99">
        <f t="shared" si="16"/>
        <v>21.862171156508854</v>
      </c>
      <c r="G73" s="99">
        <f t="shared" si="16"/>
        <v>21.839889344560657</v>
      </c>
      <c r="H73" s="99">
        <f t="shared" si="16"/>
        <v>22.098362265818743</v>
      </c>
      <c r="I73" s="99">
        <f t="shared" si="16"/>
        <v>22.059364200102944</v>
      </c>
      <c r="J73" s="99">
        <f t="shared" si="16"/>
        <v>22.32807383149747</v>
      </c>
      <c r="K73" s="99">
        <f t="shared" si="16"/>
        <v>22.268959544723494</v>
      </c>
    </row>
    <row r="76" spans="1:11" ht="12.75">
      <c r="A76" t="s">
        <v>132</v>
      </c>
      <c r="C76">
        <v>5</v>
      </c>
      <c r="D76">
        <v>5</v>
      </c>
      <c r="E76">
        <v>5</v>
      </c>
      <c r="F76">
        <v>5</v>
      </c>
      <c r="G76">
        <v>5</v>
      </c>
      <c r="H76">
        <v>5</v>
      </c>
      <c r="I76">
        <v>5</v>
      </c>
      <c r="J76">
        <v>5</v>
      </c>
      <c r="K76">
        <v>5</v>
      </c>
    </row>
    <row r="77" spans="1:11" ht="12.75">
      <c r="A77" t="s">
        <v>131</v>
      </c>
      <c r="C77" s="99">
        <f>C76/C72</f>
        <v>11.761108366852493</v>
      </c>
      <c r="D77" s="99">
        <f aca="true" t="shared" si="17" ref="D77:K77">D76/D72</f>
        <v>11.881564564421843</v>
      </c>
      <c r="E77" s="99">
        <f t="shared" si="17"/>
        <v>12.012589193474762</v>
      </c>
      <c r="F77" s="99">
        <f t="shared" si="17"/>
        <v>12.14565064250492</v>
      </c>
      <c r="G77" s="99">
        <f t="shared" si="17"/>
        <v>12.133271858089254</v>
      </c>
      <c r="H77" s="99">
        <f t="shared" si="17"/>
        <v>12.276867925454857</v>
      </c>
      <c r="I77" s="99">
        <f t="shared" si="17"/>
        <v>12.255202333390523</v>
      </c>
      <c r="J77" s="99">
        <f t="shared" si="17"/>
        <v>12.40448546194304</v>
      </c>
      <c r="K77" s="99">
        <f t="shared" si="17"/>
        <v>12.371644191513052</v>
      </c>
    </row>
    <row r="80" spans="1:11" ht="12.75">
      <c r="A80" t="s">
        <v>133</v>
      </c>
      <c r="C80">
        <f>C81+C82</f>
        <v>93</v>
      </c>
      <c r="D80">
        <f aca="true" t="shared" si="18" ref="D80:K80">D81+D82</f>
        <v>93</v>
      </c>
      <c r="E80">
        <f t="shared" si="18"/>
        <v>95</v>
      </c>
      <c r="F80">
        <f t="shared" si="18"/>
        <v>91</v>
      </c>
      <c r="G80">
        <f t="shared" si="18"/>
        <v>100</v>
      </c>
      <c r="H80">
        <f t="shared" si="18"/>
        <v>93</v>
      </c>
      <c r="I80">
        <f t="shared" si="18"/>
        <v>104</v>
      </c>
      <c r="J80">
        <f t="shared" si="18"/>
        <v>93</v>
      </c>
      <c r="K80">
        <f t="shared" si="18"/>
        <v>106</v>
      </c>
    </row>
    <row r="81" spans="1:11" ht="12.75">
      <c r="A81" t="s">
        <v>124</v>
      </c>
      <c r="C81">
        <v>83</v>
      </c>
      <c r="D81">
        <v>81</v>
      </c>
      <c r="E81">
        <v>82</v>
      </c>
      <c r="F81">
        <v>78</v>
      </c>
      <c r="G81">
        <v>85</v>
      </c>
      <c r="H81">
        <v>80</v>
      </c>
      <c r="I81">
        <v>87</v>
      </c>
      <c r="J81">
        <v>78</v>
      </c>
      <c r="K81">
        <v>89</v>
      </c>
    </row>
    <row r="82" spans="1:11" ht="12.75">
      <c r="A82" t="s">
        <v>125</v>
      </c>
      <c r="C82">
        <v>10</v>
      </c>
      <c r="D82">
        <v>12</v>
      </c>
      <c r="E82">
        <v>13</v>
      </c>
      <c r="F82">
        <v>13</v>
      </c>
      <c r="G82">
        <v>15</v>
      </c>
      <c r="H82">
        <v>13</v>
      </c>
      <c r="I82">
        <v>17</v>
      </c>
      <c r="J82">
        <v>15</v>
      </c>
      <c r="K82">
        <v>17</v>
      </c>
    </row>
    <row r="83" spans="1:11" ht="12.75">
      <c r="A83" t="s">
        <v>136</v>
      </c>
      <c r="C83">
        <f>C80/1000</f>
        <v>0.093</v>
      </c>
      <c r="D83">
        <f aca="true" t="shared" si="19" ref="D83:K83">D80/1000</f>
        <v>0.093</v>
      </c>
      <c r="E83">
        <f t="shared" si="19"/>
        <v>0.095</v>
      </c>
      <c r="F83">
        <f t="shared" si="19"/>
        <v>0.091</v>
      </c>
      <c r="G83">
        <f t="shared" si="19"/>
        <v>0.1</v>
      </c>
      <c r="H83">
        <f t="shared" si="19"/>
        <v>0.093</v>
      </c>
      <c r="I83">
        <f t="shared" si="19"/>
        <v>0.104</v>
      </c>
      <c r="J83">
        <f t="shared" si="19"/>
        <v>0.093</v>
      </c>
      <c r="K83">
        <f t="shared" si="19"/>
        <v>0.106</v>
      </c>
    </row>
    <row r="85" spans="1:11" ht="18.75" customHeight="1">
      <c r="A85" s="25" t="s">
        <v>29</v>
      </c>
      <c r="C85">
        <f>C86+C87</f>
        <v>321</v>
      </c>
      <c r="D85">
        <f aca="true" t="shared" si="20" ref="D85:K85">D86+D87</f>
        <v>331</v>
      </c>
      <c r="E85">
        <f t="shared" si="20"/>
        <v>317</v>
      </c>
      <c r="F85">
        <f t="shared" si="20"/>
        <v>290</v>
      </c>
      <c r="G85">
        <f t="shared" si="20"/>
        <v>315</v>
      </c>
      <c r="H85">
        <f t="shared" si="20"/>
        <v>295</v>
      </c>
      <c r="I85">
        <f t="shared" si="20"/>
        <v>314</v>
      </c>
      <c r="J85">
        <f t="shared" si="20"/>
        <v>289</v>
      </c>
      <c r="K85">
        <f t="shared" si="20"/>
        <v>310</v>
      </c>
    </row>
    <row r="86" spans="1:11" ht="12.75">
      <c r="A86" t="s">
        <v>124</v>
      </c>
      <c r="C86">
        <v>297</v>
      </c>
      <c r="D86">
        <v>305</v>
      </c>
      <c r="E86">
        <v>290</v>
      </c>
      <c r="F86">
        <v>260</v>
      </c>
      <c r="G86">
        <v>280</v>
      </c>
      <c r="H86">
        <v>265</v>
      </c>
      <c r="I86">
        <v>275</v>
      </c>
      <c r="J86">
        <v>250</v>
      </c>
      <c r="K86">
        <v>270</v>
      </c>
    </row>
    <row r="87" spans="1:11" ht="12.75">
      <c r="A87" t="s">
        <v>125</v>
      </c>
      <c r="C87">
        <v>24</v>
      </c>
      <c r="D87">
        <v>26</v>
      </c>
      <c r="E87">
        <v>27</v>
      </c>
      <c r="F87">
        <v>30</v>
      </c>
      <c r="G87">
        <v>35</v>
      </c>
      <c r="H87">
        <v>30</v>
      </c>
      <c r="I87">
        <v>39</v>
      </c>
      <c r="J87">
        <v>39</v>
      </c>
      <c r="K87">
        <v>40</v>
      </c>
    </row>
    <row r="88" spans="3:11" ht="12.75">
      <c r="C88">
        <f>C85/1000</f>
        <v>0.321</v>
      </c>
      <c r="D88">
        <f aca="true" t="shared" si="21" ref="D88:K88">D85/1000</f>
        <v>0.331</v>
      </c>
      <c r="E88">
        <f t="shared" si="21"/>
        <v>0.317</v>
      </c>
      <c r="F88">
        <f t="shared" si="21"/>
        <v>0.29</v>
      </c>
      <c r="G88">
        <f t="shared" si="21"/>
        <v>0.315</v>
      </c>
      <c r="H88">
        <f t="shared" si="21"/>
        <v>0.295</v>
      </c>
      <c r="I88">
        <f t="shared" si="21"/>
        <v>0.314</v>
      </c>
      <c r="J88">
        <f t="shared" si="21"/>
        <v>0.289</v>
      </c>
      <c r="K88">
        <f t="shared" si="21"/>
        <v>0.31</v>
      </c>
    </row>
    <row r="89" spans="3:11" ht="12.75">
      <c r="C89">
        <f aca="true" t="shared" si="22" ref="C89:K89">C63</f>
        <v>4.2513</v>
      </c>
      <c r="D89">
        <f t="shared" si="22"/>
        <v>4.2082</v>
      </c>
      <c r="E89">
        <f t="shared" si="22"/>
        <v>4.1623</v>
      </c>
      <c r="F89">
        <f t="shared" si="22"/>
        <v>4.1167</v>
      </c>
      <c r="G89">
        <f t="shared" si="22"/>
        <v>4.1209</v>
      </c>
      <c r="H89">
        <f t="shared" si="22"/>
        <v>4.0727</v>
      </c>
      <c r="I89">
        <f t="shared" si="22"/>
        <v>4.0799</v>
      </c>
      <c r="J89">
        <f t="shared" si="22"/>
        <v>4.0308</v>
      </c>
      <c r="K89">
        <f t="shared" si="22"/>
        <v>4.0415</v>
      </c>
    </row>
    <row r="90" spans="1:11" ht="12.75">
      <c r="A90" t="s">
        <v>134</v>
      </c>
      <c r="C90">
        <f>C91+C92</f>
        <v>697</v>
      </c>
      <c r="D90">
        <f aca="true" t="shared" si="23" ref="D90:K90">D91+D92</f>
        <v>780</v>
      </c>
      <c r="E90">
        <f t="shared" si="23"/>
        <v>780</v>
      </c>
      <c r="F90">
        <f t="shared" si="23"/>
        <v>780</v>
      </c>
      <c r="G90">
        <f t="shared" si="23"/>
        <v>785</v>
      </c>
      <c r="H90">
        <f t="shared" si="23"/>
        <v>780</v>
      </c>
      <c r="I90">
        <f t="shared" si="23"/>
        <v>790</v>
      </c>
      <c r="J90">
        <f t="shared" si="23"/>
        <v>780</v>
      </c>
      <c r="K90">
        <f t="shared" si="23"/>
        <v>795</v>
      </c>
    </row>
    <row r="91" spans="1:11" ht="12.75">
      <c r="A91" t="str">
        <f>A86</f>
        <v>цгб</v>
      </c>
      <c r="C91">
        <v>677</v>
      </c>
      <c r="D91">
        <v>760</v>
      </c>
      <c r="E91">
        <v>760</v>
      </c>
      <c r="F91">
        <v>760</v>
      </c>
      <c r="G91">
        <v>760</v>
      </c>
      <c r="H91">
        <v>760</v>
      </c>
      <c r="I91">
        <v>760</v>
      </c>
      <c r="J91">
        <v>760</v>
      </c>
      <c r="K91">
        <v>760</v>
      </c>
    </row>
    <row r="92" spans="1:11" ht="12.75">
      <c r="A92" t="str">
        <f>A87</f>
        <v>псих</v>
      </c>
      <c r="C92">
        <v>20</v>
      </c>
      <c r="D92">
        <v>20</v>
      </c>
      <c r="E92">
        <v>20</v>
      </c>
      <c r="F92">
        <v>20</v>
      </c>
      <c r="G92">
        <v>25</v>
      </c>
      <c r="H92">
        <v>20</v>
      </c>
      <c r="I92">
        <v>30</v>
      </c>
      <c r="J92">
        <v>20</v>
      </c>
      <c r="K92">
        <v>35</v>
      </c>
    </row>
    <row r="94" spans="1:11" ht="12.75">
      <c r="A94" t="s">
        <v>135</v>
      </c>
      <c r="C94" s="99">
        <f>C90/C89</f>
        <v>163.94985063392375</v>
      </c>
      <c r="D94" s="99">
        <f aca="true" t="shared" si="24" ref="D94:K94">D90/D89</f>
        <v>185.35240720498075</v>
      </c>
      <c r="E94" s="99">
        <f t="shared" si="24"/>
        <v>187.39639141820626</v>
      </c>
      <c r="F94" s="99">
        <f t="shared" si="24"/>
        <v>189.47215002307675</v>
      </c>
      <c r="G94" s="99">
        <f t="shared" si="24"/>
        <v>190.49236817200128</v>
      </c>
      <c r="H94" s="99">
        <f t="shared" si="24"/>
        <v>191.51913963709578</v>
      </c>
      <c r="I94" s="99">
        <f t="shared" si="24"/>
        <v>193.63219686757026</v>
      </c>
      <c r="J94" s="99">
        <f t="shared" si="24"/>
        <v>193.5099732063114</v>
      </c>
      <c r="K94" s="99">
        <f t="shared" si="24"/>
        <v>196.7091426450575</v>
      </c>
    </row>
    <row r="97" ht="18.75">
      <c r="A97" s="26" t="s">
        <v>142</v>
      </c>
    </row>
    <row r="99" spans="1:11" ht="25.5">
      <c r="A99" s="132" t="s">
        <v>143</v>
      </c>
      <c r="B99" s="133" t="s">
        <v>31</v>
      </c>
      <c r="C99" s="144">
        <f>C100/C101*1000</f>
        <v>866.8789808917197</v>
      </c>
      <c r="D99" s="134">
        <f>D100/D101*1000</f>
        <v>877.498388136686</v>
      </c>
      <c r="E99" s="243">
        <f aca="true" t="shared" si="25" ref="E99:K99">E100/E101*1000</f>
        <v>904.9202127659574</v>
      </c>
      <c r="F99" s="243">
        <f t="shared" si="25"/>
        <v>837.3819163292848</v>
      </c>
      <c r="G99" s="134">
        <f>G100/G101*1000</f>
        <v>914.9579831932773</v>
      </c>
      <c r="H99" s="134">
        <f>H100/H101*1000</f>
        <v>848.2570061517431</v>
      </c>
      <c r="I99" s="134">
        <f t="shared" si="25"/>
        <v>922.7118644067797</v>
      </c>
      <c r="J99" s="134">
        <f t="shared" si="25"/>
        <v>849.1276086212796</v>
      </c>
      <c r="K99" s="134">
        <f t="shared" si="25"/>
        <v>918.9736664415935</v>
      </c>
    </row>
    <row r="100" spans="1:11" ht="12.75">
      <c r="A100" s="132" t="s">
        <v>144</v>
      </c>
      <c r="B100" s="133"/>
      <c r="C100" s="134">
        <v>2722</v>
      </c>
      <c r="D100" s="134">
        <v>2722</v>
      </c>
      <c r="E100" s="134">
        <v>2722</v>
      </c>
      <c r="F100" s="134">
        <v>2482</v>
      </c>
      <c r="G100" s="135">
        <v>2722</v>
      </c>
      <c r="H100" s="134">
        <v>2482</v>
      </c>
      <c r="I100" s="135">
        <v>2722</v>
      </c>
      <c r="J100" s="134">
        <v>2482</v>
      </c>
      <c r="K100" s="135">
        <v>2722</v>
      </c>
    </row>
    <row r="101" spans="1:11" ht="25.5">
      <c r="A101" s="136" t="s">
        <v>7</v>
      </c>
      <c r="B101" s="137" t="s">
        <v>70</v>
      </c>
      <c r="C101" s="141">
        <v>3140</v>
      </c>
      <c r="D101" s="141">
        <v>3102</v>
      </c>
      <c r="E101" s="138">
        <f>D101-E102+E103</f>
        <v>3008</v>
      </c>
      <c r="F101" s="138">
        <f>E101-F102+F103</f>
        <v>2964</v>
      </c>
      <c r="G101" s="139">
        <f>E101-G102+G103</f>
        <v>2975</v>
      </c>
      <c r="H101" s="138">
        <f>F101-H102+H103</f>
        <v>2926</v>
      </c>
      <c r="I101" s="139">
        <f>G101-I102+I103</f>
        <v>2950</v>
      </c>
      <c r="J101" s="138">
        <f>H101-J102+J103</f>
        <v>2923</v>
      </c>
      <c r="K101" s="139">
        <f>I101-K102+K103</f>
        <v>2962</v>
      </c>
    </row>
    <row r="102" spans="1:11" ht="12.75">
      <c r="A102" t="s">
        <v>146</v>
      </c>
      <c r="E102">
        <v>470</v>
      </c>
      <c r="F102">
        <v>414</v>
      </c>
      <c r="G102">
        <v>414</v>
      </c>
      <c r="H102" s="143">
        <v>410</v>
      </c>
      <c r="I102" s="143">
        <v>410</v>
      </c>
      <c r="J102">
        <v>378</v>
      </c>
      <c r="K102">
        <v>378</v>
      </c>
    </row>
    <row r="103" spans="1:11" ht="12.75">
      <c r="A103" t="s">
        <v>147</v>
      </c>
      <c r="E103">
        <v>376</v>
      </c>
      <c r="F103">
        <v>370</v>
      </c>
      <c r="G103">
        <v>381</v>
      </c>
      <c r="H103">
        <v>372</v>
      </c>
      <c r="I103">
        <v>385</v>
      </c>
      <c r="J103">
        <v>375</v>
      </c>
      <c r="K103">
        <v>390</v>
      </c>
    </row>
    <row r="105" spans="3:13" ht="12.75">
      <c r="C105" s="151">
        <f aca="true" t="shared" si="26" ref="C105:J105">C2</f>
        <v>2018</v>
      </c>
      <c r="D105" s="151">
        <f t="shared" si="26"/>
        <v>2019</v>
      </c>
      <c r="E105" s="151">
        <f t="shared" si="26"/>
        <v>2020</v>
      </c>
      <c r="F105" s="305">
        <f t="shared" si="26"/>
        <v>2021</v>
      </c>
      <c r="G105" s="305"/>
      <c r="H105" s="305">
        <f t="shared" si="26"/>
        <v>2022</v>
      </c>
      <c r="I105" s="305"/>
      <c r="J105" s="305">
        <f t="shared" si="26"/>
        <v>2023</v>
      </c>
      <c r="K105" s="305"/>
      <c r="L105" s="298">
        <v>2024</v>
      </c>
      <c r="M105" s="298"/>
    </row>
    <row r="106" spans="1:13" ht="12.75">
      <c r="A106" t="str">
        <f>Прогноз!B66</f>
        <v>Ввод в эксплуатацию жилых домов</v>
      </c>
      <c r="B106" t="str">
        <f>Прогноз!C66</f>
        <v>кв. м</v>
      </c>
      <c r="C106" s="151">
        <f>Прогноз!D66</f>
        <v>435</v>
      </c>
      <c r="D106" s="151">
        <f>Прогноз!E66</f>
        <v>477</v>
      </c>
      <c r="E106" s="151">
        <v>526</v>
      </c>
      <c r="F106" s="151">
        <v>596</v>
      </c>
      <c r="G106" s="151">
        <v>4405</v>
      </c>
      <c r="H106" s="151">
        <v>666</v>
      </c>
      <c r="I106" s="151">
        <v>736</v>
      </c>
      <c r="J106" s="151">
        <v>736</v>
      </c>
      <c r="K106" s="151">
        <v>806</v>
      </c>
      <c r="L106" s="239">
        <v>806</v>
      </c>
      <c r="M106" s="239">
        <v>876</v>
      </c>
    </row>
    <row r="107" spans="1:13" ht="12.75">
      <c r="A107">
        <f>Прогноз!B67</f>
        <v>0</v>
      </c>
      <c r="B107" t="str">
        <f>Прогноз!C67</f>
        <v>в % к предыдущему году</v>
      </c>
      <c r="C107" s="237">
        <f>Прогноз!D67</f>
        <v>40</v>
      </c>
      <c r="D107" s="238">
        <f>Прогноз!E67</f>
        <v>109.6551724137931</v>
      </c>
      <c r="E107" s="238">
        <v>110.3</v>
      </c>
      <c r="F107" s="238">
        <v>113.3</v>
      </c>
      <c r="G107" s="238">
        <f aca="true" t="shared" si="27" ref="G107:M107">G106/E106*100</f>
        <v>837.4524714828898</v>
      </c>
      <c r="H107" s="238">
        <f t="shared" si="27"/>
        <v>111.74496644295301</v>
      </c>
      <c r="I107" s="238">
        <f t="shared" si="27"/>
        <v>16.708286038592508</v>
      </c>
      <c r="J107" s="238">
        <f t="shared" si="27"/>
        <v>110.5105105105105</v>
      </c>
      <c r="K107" s="238">
        <f t="shared" si="27"/>
        <v>109.51086956521738</v>
      </c>
      <c r="L107" s="238">
        <f t="shared" si="27"/>
        <v>109.51086956521738</v>
      </c>
      <c r="M107" s="238">
        <f t="shared" si="27"/>
        <v>108.6848635235732</v>
      </c>
    </row>
  </sheetData>
  <sheetProtection/>
  <mergeCells count="19">
    <mergeCell ref="A5:A7"/>
    <mergeCell ref="A9:A10"/>
    <mergeCell ref="F53:G53"/>
    <mergeCell ref="H52:I53"/>
    <mergeCell ref="J53:K53"/>
    <mergeCell ref="L2:M2"/>
    <mergeCell ref="F2:G2"/>
    <mergeCell ref="H2:I2"/>
    <mergeCell ref="J2:K2"/>
    <mergeCell ref="L105:M105"/>
    <mergeCell ref="A11:A12"/>
    <mergeCell ref="A13:A14"/>
    <mergeCell ref="A15:A16"/>
    <mergeCell ref="F18:G18"/>
    <mergeCell ref="H18:I18"/>
    <mergeCell ref="J18:K18"/>
    <mergeCell ref="F105:G105"/>
    <mergeCell ref="H105:I105"/>
    <mergeCell ref="J105:K105"/>
  </mergeCells>
  <printOptions/>
  <pageMargins left="0.75" right="0.75" top="1" bottom="1" header="0.5" footer="0.5"/>
  <pageSetup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Фукалова Т.В.</cp:lastModifiedBy>
  <cp:lastPrinted>2020-11-30T06:46:44Z</cp:lastPrinted>
  <dcterms:created xsi:type="dcterms:W3CDTF">2013-05-25T16:45:04Z</dcterms:created>
  <dcterms:modified xsi:type="dcterms:W3CDTF">2020-11-30T06:49:17Z</dcterms:modified>
  <cp:category/>
  <cp:version/>
  <cp:contentType/>
  <cp:contentStatus/>
</cp:coreProperties>
</file>